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bergamaschi\Desktop\Gabriel IBRE\PIS-PASEP\"/>
    </mc:Choice>
  </mc:AlternateContent>
  <bookViews>
    <workbookView xWindow="0" yWindow="0" windowWidth="21570" windowHeight="8970" tabRatio="820"/>
  </bookViews>
  <sheets>
    <sheet name="Balanço patrimonial" sheetId="1" r:id="rId1"/>
    <sheet name="Carteira de TVM" sheetId="16" r:id="rId2"/>
    <sheet name="Operações de Crédito (BNDES)" sheetId="20" r:id="rId3"/>
    <sheet name="Outros Créditos a Receber" sheetId="17" r:id="rId4"/>
    <sheet name="Depósitos Vinculados" sheetId="19" r:id="rId5"/>
    <sheet name="DRE" sheetId="10" r:id="rId6"/>
    <sheet name="Depósitos Vinculados..." sheetId="18" r:id="rId7"/>
    <sheet name="DMPL" sheetId="15" r:id="rId8"/>
    <sheet name="Fluxo de caixa" sheetId="14" r:id="rId9"/>
    <sheet name="4" sheetId="2" r:id="rId10"/>
    <sheet name="5" sheetId="3" r:id="rId11"/>
    <sheet name="6" sheetId="4" r:id="rId12"/>
    <sheet name="7" sheetId="5" r:id="rId13"/>
    <sheet name="8" sheetId="6" r:id="rId14"/>
    <sheet name="9" sheetId="7" r:id="rId15"/>
    <sheet name="10" sheetId="8" r:id="rId16"/>
    <sheet name="11" sheetId="11" r:id="rId17"/>
    <sheet name="12" sheetId="13" r:id="rId18"/>
    <sheet name="13" sheetId="12" r:id="rId19"/>
    <sheet name="14" sheetId="9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8" l="1"/>
  <c r="C7" i="18"/>
  <c r="D7" i="18"/>
  <c r="E7" i="18"/>
  <c r="F7" i="18"/>
  <c r="G7" i="18"/>
  <c r="H7" i="18"/>
  <c r="I7" i="18"/>
  <c r="J7" i="18"/>
  <c r="K7" i="18"/>
  <c r="L7" i="18"/>
  <c r="L42" i="18" s="1"/>
  <c r="L18" i="18"/>
  <c r="I6" i="4" l="1"/>
  <c r="I7" i="4"/>
  <c r="S18" i="20"/>
  <c r="R18" i="20"/>
  <c r="I12" i="17"/>
  <c r="H12" i="17"/>
  <c r="S14" i="19" l="1"/>
  <c r="R14" i="19"/>
  <c r="S5" i="19"/>
  <c r="R5" i="19"/>
  <c r="I30" i="10" l="1"/>
  <c r="I29" i="10"/>
  <c r="I28" i="10"/>
  <c r="I27" i="10" s="1"/>
  <c r="I26" i="10"/>
  <c r="I24" i="10"/>
  <c r="I23" i="10"/>
  <c r="I22" i="10"/>
  <c r="I21" i="10"/>
  <c r="I20" i="10" s="1"/>
  <c r="I14" i="10"/>
  <c r="D18" i="10"/>
  <c r="E18" i="10"/>
  <c r="F18" i="10"/>
  <c r="G18" i="10"/>
  <c r="H18" i="10"/>
  <c r="C18" i="10"/>
  <c r="B18" i="10"/>
  <c r="C17" i="10"/>
  <c r="D17" i="10"/>
  <c r="E17" i="10"/>
  <c r="F17" i="10"/>
  <c r="G17" i="10"/>
  <c r="H17" i="10"/>
  <c r="I17" i="10"/>
  <c r="B17" i="10"/>
  <c r="I15" i="10"/>
  <c r="I11" i="10"/>
  <c r="I10" i="10"/>
  <c r="I9" i="10"/>
  <c r="I7" i="10"/>
  <c r="I5" i="10"/>
  <c r="I4" i="10"/>
  <c r="I25" i="10"/>
  <c r="I13" i="10"/>
  <c r="L51" i="18"/>
  <c r="L52" i="18"/>
  <c r="L48" i="18"/>
  <c r="L49" i="18"/>
  <c r="K51" i="18"/>
  <c r="K50" i="18"/>
  <c r="K48" i="18"/>
  <c r="K45" i="18"/>
  <c r="K44" i="18"/>
  <c r="K43" i="18"/>
  <c r="K42" i="18"/>
  <c r="L41" i="18"/>
  <c r="K41" i="18"/>
  <c r="K40" i="18"/>
  <c r="L35" i="18"/>
  <c r="L53" i="18" s="1"/>
  <c r="K18" i="18"/>
  <c r="H106" i="15"/>
  <c r="H107" i="15" s="1"/>
  <c r="H108" i="15" s="1"/>
  <c r="G106" i="15"/>
  <c r="F107" i="15"/>
  <c r="F106" i="15"/>
  <c r="F105" i="15"/>
  <c r="F103" i="15"/>
  <c r="F102" i="15"/>
  <c r="F99" i="15"/>
  <c r="E106" i="15"/>
  <c r="E96" i="15"/>
  <c r="D101" i="15"/>
  <c r="D96" i="15"/>
  <c r="D107" i="15" s="1"/>
  <c r="D108" i="15" s="1"/>
  <c r="C100" i="15"/>
  <c r="C107" i="15" s="1"/>
  <c r="C108" i="15" s="1"/>
  <c r="C96" i="15"/>
  <c r="B105" i="15"/>
  <c r="B104" i="15"/>
  <c r="I104" i="15" s="1"/>
  <c r="B103" i="15"/>
  <c r="B102" i="15"/>
  <c r="B98" i="15"/>
  <c r="B97" i="15"/>
  <c r="B96" i="15"/>
  <c r="B107" i="15" s="1"/>
  <c r="B108" i="15" s="1"/>
  <c r="I93" i="15"/>
  <c r="I105" i="15"/>
  <c r="I97" i="15"/>
  <c r="I98" i="15"/>
  <c r="I99" i="15"/>
  <c r="I100" i="15"/>
  <c r="I101" i="15"/>
  <c r="I102" i="15"/>
  <c r="I103" i="15"/>
  <c r="I96" i="15"/>
  <c r="I90" i="15"/>
  <c r="I91" i="15"/>
  <c r="I92" i="15"/>
  <c r="G107" i="15"/>
  <c r="B94" i="15"/>
  <c r="E107" i="15"/>
  <c r="E108" i="15" s="1"/>
  <c r="F108" i="15"/>
  <c r="G108" i="15"/>
  <c r="C93" i="15"/>
  <c r="B95" i="15"/>
  <c r="B93" i="15"/>
  <c r="C95" i="15"/>
  <c r="D95" i="15"/>
  <c r="E95" i="15"/>
  <c r="F95" i="15"/>
  <c r="G95" i="15"/>
  <c r="H95" i="15"/>
  <c r="B82" i="15"/>
  <c r="I19" i="10" l="1"/>
  <c r="I16" i="10"/>
  <c r="I3" i="10"/>
  <c r="I106" i="15"/>
  <c r="I107" i="15"/>
  <c r="I35" i="14"/>
  <c r="I28" i="14"/>
  <c r="H28" i="14"/>
  <c r="I23" i="14"/>
  <c r="I22" i="14"/>
  <c r="I21" i="14"/>
  <c r="I20" i="14" s="1"/>
  <c r="I18" i="14"/>
  <c r="I14" i="14"/>
  <c r="I13" i="14"/>
  <c r="I11" i="14"/>
  <c r="I10" i="14"/>
  <c r="I9" i="14"/>
  <c r="I8" i="14"/>
  <c r="I7" i="14"/>
  <c r="I6" i="14"/>
  <c r="I5" i="14"/>
  <c r="I4" i="14"/>
  <c r="I36" i="14"/>
  <c r="I37" i="14"/>
  <c r="I38" i="14"/>
  <c r="I39" i="14"/>
  <c r="I40" i="14"/>
  <c r="I41" i="14"/>
  <c r="H41" i="14"/>
  <c r="H40" i="14"/>
  <c r="H39" i="14"/>
  <c r="I18" i="2"/>
  <c r="I21" i="2"/>
  <c r="I5" i="2"/>
  <c r="I8" i="2"/>
  <c r="H10" i="3"/>
  <c r="I10" i="3"/>
  <c r="I71" i="4"/>
  <c r="I75" i="4"/>
  <c r="I79" i="4"/>
  <c r="I65" i="4"/>
  <c r="I60" i="4"/>
  <c r="I22" i="4"/>
  <c r="H22" i="4"/>
  <c r="H6" i="4" s="1"/>
  <c r="I17" i="4"/>
  <c r="H7" i="4"/>
  <c r="I8" i="4"/>
  <c r="K93" i="5"/>
  <c r="J84" i="5"/>
  <c r="K81" i="5"/>
  <c r="K74" i="5"/>
  <c r="K68" i="5"/>
  <c r="K65" i="5"/>
  <c r="K62" i="5"/>
  <c r="K55" i="5"/>
  <c r="K57" i="5"/>
  <c r="K50" i="5"/>
  <c r="K29" i="5"/>
  <c r="K14" i="5"/>
  <c r="K10" i="5"/>
  <c r="K20" i="5"/>
  <c r="K26" i="5" s="1"/>
  <c r="K5" i="5"/>
  <c r="K8" i="5"/>
  <c r="J29" i="5"/>
  <c r="K41" i="5"/>
  <c r="J41" i="5"/>
  <c r="F12" i="6"/>
  <c r="I17" i="6"/>
  <c r="I19" i="6" s="1"/>
  <c r="H17" i="6"/>
  <c r="I12" i="6"/>
  <c r="I8" i="7"/>
  <c r="I16" i="7"/>
  <c r="M6" i="8"/>
  <c r="I6" i="11"/>
  <c r="I14" i="13"/>
  <c r="I7" i="13"/>
  <c r="H7" i="13"/>
  <c r="I27" i="14" l="1"/>
  <c r="I26" i="14" s="1"/>
  <c r="I32" i="10"/>
  <c r="I34" i="14" s="1"/>
  <c r="I42" i="14" s="1"/>
  <c r="I3" i="14"/>
  <c r="I26" i="2"/>
  <c r="I13" i="2"/>
  <c r="I77" i="4"/>
  <c r="I82" i="4" s="1"/>
  <c r="I58" i="4"/>
  <c r="I5" i="4"/>
  <c r="I11" i="4" s="1"/>
  <c r="K18" i="5"/>
  <c r="T71" i="9"/>
  <c r="T70" i="9"/>
  <c r="T68" i="9"/>
  <c r="S68" i="9"/>
  <c r="T57" i="9"/>
  <c r="T64" i="9"/>
  <c r="T61" i="9"/>
  <c r="T58" i="9"/>
  <c r="S61" i="9"/>
  <c r="S58" i="9"/>
  <c r="T45" i="9"/>
  <c r="T51" i="9"/>
  <c r="T46" i="9"/>
  <c r="S51" i="9"/>
  <c r="S45" i="9" s="1"/>
  <c r="S46" i="9"/>
  <c r="I9" i="12"/>
  <c r="H9" i="12"/>
  <c r="Q18" i="20" l="1"/>
  <c r="D12" i="17"/>
  <c r="B12" i="17"/>
  <c r="Q14" i="19" l="1"/>
  <c r="P14" i="19"/>
  <c r="I14" i="19" l="1"/>
  <c r="J14" i="19"/>
  <c r="L14" i="19"/>
  <c r="K14" i="19"/>
  <c r="N14" i="19"/>
  <c r="M14" i="19"/>
  <c r="O5" i="19"/>
  <c r="P5" i="19"/>
  <c r="Q5" i="19"/>
  <c r="K35" i="18"/>
  <c r="O14" i="19" l="1"/>
  <c r="J40" i="18"/>
  <c r="H18" i="18" l="1"/>
  <c r="I18" i="18"/>
  <c r="J18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H41" i="18"/>
  <c r="G41" i="18"/>
  <c r="F41" i="18"/>
  <c r="E41" i="18"/>
  <c r="D41" i="18"/>
  <c r="C41" i="18"/>
  <c r="B41" i="18"/>
  <c r="K53" i="18"/>
  <c r="K52" i="18"/>
  <c r="K49" i="18"/>
  <c r="K47" i="18"/>
  <c r="K46" i="18"/>
  <c r="J35" i="18"/>
  <c r="C12" i="17"/>
  <c r="E12" i="17"/>
  <c r="F12" i="17"/>
  <c r="G12" i="17"/>
  <c r="B12" i="6"/>
  <c r="B6" i="4"/>
  <c r="B7" i="4"/>
  <c r="B5" i="4"/>
  <c r="J53" i="18" l="1"/>
  <c r="B20" i="5"/>
  <c r="B26" i="5" s="1"/>
  <c r="C20" i="5"/>
  <c r="C26" i="5" s="1"/>
  <c r="B10" i="5"/>
  <c r="C10" i="5"/>
  <c r="E10" i="5"/>
  <c r="D14" i="5"/>
  <c r="D10" i="5" s="1"/>
  <c r="E14" i="5"/>
  <c r="F14" i="5"/>
  <c r="F10" i="5" s="1"/>
  <c r="G14" i="5"/>
  <c r="G10" i="5" s="1"/>
  <c r="H14" i="5"/>
  <c r="H10" i="5" s="1"/>
  <c r="I14" i="5"/>
  <c r="I10" i="5" s="1"/>
  <c r="J14" i="5"/>
  <c r="J10" i="5" s="1"/>
  <c r="B8" i="5"/>
  <c r="C8" i="5"/>
  <c r="B5" i="5"/>
  <c r="C5" i="5"/>
  <c r="N58" i="9"/>
  <c r="I51" i="9"/>
  <c r="H51" i="9"/>
  <c r="B51" i="9"/>
  <c r="C51" i="9"/>
  <c r="D51" i="9"/>
  <c r="E51" i="9"/>
  <c r="F51" i="9"/>
  <c r="G51" i="9"/>
  <c r="B46" i="9"/>
  <c r="C46" i="9"/>
  <c r="D46" i="9"/>
  <c r="E46" i="9"/>
  <c r="F46" i="9"/>
  <c r="G46" i="9"/>
  <c r="H46" i="9"/>
  <c r="I46" i="9"/>
  <c r="C18" i="5" l="1"/>
  <c r="C29" i="5" s="1"/>
  <c r="B18" i="5"/>
  <c r="B29" i="5" s="1"/>
  <c r="C45" i="9"/>
  <c r="B45" i="9"/>
  <c r="G45" i="9"/>
  <c r="E45" i="9"/>
  <c r="D45" i="9"/>
  <c r="F45" i="9"/>
  <c r="H45" i="9"/>
  <c r="I45" i="9"/>
  <c r="B57" i="9"/>
  <c r="C57" i="9"/>
  <c r="D57" i="9"/>
  <c r="E57" i="9"/>
  <c r="F57" i="9"/>
  <c r="G57" i="9"/>
  <c r="H57" i="9"/>
  <c r="I57" i="9"/>
  <c r="B68" i="9"/>
  <c r="C68" i="9"/>
  <c r="D68" i="9"/>
  <c r="E68" i="9"/>
  <c r="F68" i="9"/>
  <c r="G68" i="9"/>
  <c r="H68" i="9"/>
  <c r="I68" i="9"/>
  <c r="J68" i="9"/>
  <c r="J51" i="9" l="1"/>
  <c r="J46" i="9"/>
  <c r="J57" i="9"/>
  <c r="N57" i="9"/>
  <c r="O58" i="9"/>
  <c r="P58" i="9"/>
  <c r="Q58" i="9"/>
  <c r="R58" i="9"/>
  <c r="M58" i="9"/>
  <c r="M57" i="9" s="1"/>
  <c r="L58" i="9"/>
  <c r="L57" i="9" s="1"/>
  <c r="K58" i="9"/>
  <c r="K57" i="9" s="1"/>
  <c r="K51" i="9"/>
  <c r="L51" i="9"/>
  <c r="K46" i="9"/>
  <c r="L46" i="9"/>
  <c r="E68" i="5"/>
  <c r="F68" i="5"/>
  <c r="G68" i="5"/>
  <c r="H68" i="5"/>
  <c r="I68" i="5"/>
  <c r="J68" i="5"/>
  <c r="D68" i="5"/>
  <c r="J45" i="9" l="1"/>
  <c r="L45" i="9"/>
  <c r="L68" i="9" s="1"/>
  <c r="K45" i="9"/>
  <c r="K68" i="9" s="1"/>
  <c r="B6" i="8"/>
  <c r="C6" i="8"/>
  <c r="D6" i="8"/>
  <c r="E6" i="8"/>
  <c r="F6" i="8"/>
  <c r="G6" i="8"/>
  <c r="H6" i="8"/>
  <c r="B8" i="4" l="1"/>
  <c r="C8" i="4"/>
  <c r="D8" i="4"/>
  <c r="E8" i="4"/>
  <c r="F8" i="4"/>
  <c r="G8" i="4"/>
  <c r="H8" i="4"/>
  <c r="H21" i="15" l="1"/>
  <c r="H13" i="15"/>
  <c r="G21" i="15"/>
  <c r="G13" i="15"/>
  <c r="F21" i="15"/>
  <c r="F20" i="15"/>
  <c r="F19" i="15"/>
  <c r="F18" i="15"/>
  <c r="F13" i="15"/>
  <c r="E21" i="15"/>
  <c r="E14" i="15"/>
  <c r="E13" i="15"/>
  <c r="D17" i="15"/>
  <c r="I17" i="15" s="1"/>
  <c r="D14" i="15"/>
  <c r="D13" i="15"/>
  <c r="B20" i="15"/>
  <c r="B19" i="15"/>
  <c r="B18" i="15"/>
  <c r="B16" i="15"/>
  <c r="I16" i="15" s="1"/>
  <c r="B15" i="15"/>
  <c r="I15" i="15" s="1"/>
  <c r="B14" i="15"/>
  <c r="B13" i="15"/>
  <c r="C22" i="15"/>
  <c r="C23" i="15" s="1"/>
  <c r="C40" i="14"/>
  <c r="B39" i="14"/>
  <c r="B38" i="14"/>
  <c r="B37" i="14"/>
  <c r="B36" i="14"/>
  <c r="B35" i="14"/>
  <c r="B28" i="14"/>
  <c r="B27" i="14"/>
  <c r="B23" i="14"/>
  <c r="B22" i="14"/>
  <c r="B21" i="14"/>
  <c r="B17" i="14"/>
  <c r="B18" i="14"/>
  <c r="B16" i="14"/>
  <c r="B14" i="14"/>
  <c r="B13" i="14"/>
  <c r="B12" i="14"/>
  <c r="B11" i="14"/>
  <c r="B10" i="14"/>
  <c r="B9" i="14"/>
  <c r="B8" i="14"/>
  <c r="B7" i="14"/>
  <c r="B6" i="14"/>
  <c r="B5" i="14"/>
  <c r="B4" i="14"/>
  <c r="C4" i="14"/>
  <c r="B40" i="14"/>
  <c r="B6" i="10"/>
  <c r="B12" i="10"/>
  <c r="B9" i="10"/>
  <c r="B10" i="10"/>
  <c r="B11" i="10"/>
  <c r="B14" i="10"/>
  <c r="B24" i="10"/>
  <c r="B23" i="10" s="1"/>
  <c r="B26" i="10"/>
  <c r="B25" i="10" s="1"/>
  <c r="B29" i="10"/>
  <c r="B30" i="10"/>
  <c r="B31" i="10"/>
  <c r="B16" i="1"/>
  <c r="C16" i="1"/>
  <c r="B17" i="1"/>
  <c r="C17" i="1"/>
  <c r="M46" i="9"/>
  <c r="M51" i="9"/>
  <c r="B20" i="1"/>
  <c r="B9" i="12"/>
  <c r="B7" i="13"/>
  <c r="B21" i="10" s="1"/>
  <c r="B14" i="13"/>
  <c r="B22" i="10" s="1"/>
  <c r="B6" i="11"/>
  <c r="B15" i="10" s="1"/>
  <c r="B8" i="7"/>
  <c r="B16" i="7"/>
  <c r="B28" i="10" s="1"/>
  <c r="B5" i="6"/>
  <c r="B13" i="1" s="1"/>
  <c r="B8" i="6"/>
  <c r="B19" i="6"/>
  <c r="C17" i="6" s="1"/>
  <c r="C19" i="6" s="1"/>
  <c r="D17" i="6" s="1"/>
  <c r="D5" i="5"/>
  <c r="D8" i="5"/>
  <c r="D20" i="5"/>
  <c r="D26" i="5" s="1"/>
  <c r="B12" i="1" s="1"/>
  <c r="D41" i="5"/>
  <c r="B5" i="10" s="1"/>
  <c r="D50" i="5"/>
  <c r="D57" i="5"/>
  <c r="E55" i="5" s="1"/>
  <c r="E57" i="5" s="1"/>
  <c r="F55" i="5" s="1"/>
  <c r="D62" i="5"/>
  <c r="D65" i="5"/>
  <c r="B49" i="4"/>
  <c r="B46" i="4"/>
  <c r="B43" i="4"/>
  <c r="B41" i="4"/>
  <c r="B24" i="4"/>
  <c r="B11" i="1"/>
  <c r="B17" i="4"/>
  <c r="B60" i="4"/>
  <c r="B65" i="4" s="1"/>
  <c r="B71" i="4"/>
  <c r="B75" i="4"/>
  <c r="B79" i="4"/>
  <c r="B18" i="2"/>
  <c r="B21" i="2"/>
  <c r="C10" i="3"/>
  <c r="C6" i="1" s="1"/>
  <c r="D10" i="3"/>
  <c r="E10" i="3"/>
  <c r="F10" i="3"/>
  <c r="G10" i="3"/>
  <c r="B10" i="3"/>
  <c r="B6" i="1" s="1"/>
  <c r="B5" i="2"/>
  <c r="B8" i="2"/>
  <c r="B13" i="2" s="1"/>
  <c r="B5" i="1" s="1"/>
  <c r="H32" i="15"/>
  <c r="G32" i="15"/>
  <c r="F32" i="15"/>
  <c r="F31" i="15"/>
  <c r="F30" i="15"/>
  <c r="F29" i="15"/>
  <c r="E32" i="15"/>
  <c r="E25" i="15"/>
  <c r="D28" i="15"/>
  <c r="I28" i="15" s="1"/>
  <c r="D25" i="15"/>
  <c r="B31" i="15"/>
  <c r="B30" i="15"/>
  <c r="B29" i="15"/>
  <c r="B27" i="15"/>
  <c r="I27" i="15" s="1"/>
  <c r="B26" i="15"/>
  <c r="I26" i="15" s="1"/>
  <c r="B25" i="15"/>
  <c r="D40" i="14"/>
  <c r="C28" i="14"/>
  <c r="D27" i="14" s="1"/>
  <c r="C23" i="14"/>
  <c r="C22" i="14"/>
  <c r="C21" i="14"/>
  <c r="C18" i="14"/>
  <c r="C14" i="14"/>
  <c r="C13" i="14"/>
  <c r="C12" i="14"/>
  <c r="C11" i="14"/>
  <c r="C10" i="14"/>
  <c r="C9" i="14"/>
  <c r="C8" i="14"/>
  <c r="C7" i="14"/>
  <c r="C6" i="14"/>
  <c r="C5" i="14"/>
  <c r="C9" i="10"/>
  <c r="C10" i="10"/>
  <c r="C11" i="10"/>
  <c r="C14" i="10"/>
  <c r="C15" i="10"/>
  <c r="C24" i="10"/>
  <c r="C23" i="10" s="1"/>
  <c r="C26" i="10"/>
  <c r="C25" i="10" s="1"/>
  <c r="C29" i="10"/>
  <c r="C30" i="10"/>
  <c r="C31" i="10"/>
  <c r="C20" i="1"/>
  <c r="O64" i="9"/>
  <c r="P64" i="9"/>
  <c r="Q64" i="9"/>
  <c r="R64" i="9"/>
  <c r="S64" i="9"/>
  <c r="O61" i="9"/>
  <c r="P61" i="9"/>
  <c r="P57" i="9" s="1"/>
  <c r="Q61" i="9"/>
  <c r="R61" i="9"/>
  <c r="R57" i="9" s="1"/>
  <c r="N46" i="9"/>
  <c r="N51" i="9"/>
  <c r="C9" i="12"/>
  <c r="C7" i="13"/>
  <c r="C41" i="14" s="1"/>
  <c r="C14" i="13"/>
  <c r="C22" i="10" s="1"/>
  <c r="C6" i="11"/>
  <c r="D8" i="7"/>
  <c r="D39" i="14" s="1"/>
  <c r="E8" i="7"/>
  <c r="F8" i="7"/>
  <c r="G8" i="7"/>
  <c r="H8" i="7"/>
  <c r="C8" i="7"/>
  <c r="C39" i="14" s="1"/>
  <c r="C16" i="7"/>
  <c r="C28" i="10" s="1"/>
  <c r="C8" i="6"/>
  <c r="C12" i="6" s="1"/>
  <c r="E62" i="5"/>
  <c r="E65" i="5"/>
  <c r="E50" i="5"/>
  <c r="E41" i="5"/>
  <c r="C5" i="10" s="1"/>
  <c r="E5" i="5"/>
  <c r="E8" i="5"/>
  <c r="E20" i="5"/>
  <c r="E26" i="5" s="1"/>
  <c r="C12" i="1" s="1"/>
  <c r="C60" i="4"/>
  <c r="C65" i="4" s="1"/>
  <c r="D60" i="4"/>
  <c r="E60" i="4"/>
  <c r="F60" i="4"/>
  <c r="G60" i="4"/>
  <c r="H60" i="4"/>
  <c r="C44" i="4"/>
  <c r="C49" i="4"/>
  <c r="C46" i="4"/>
  <c r="C41" i="4"/>
  <c r="C11" i="1"/>
  <c r="C17" i="4"/>
  <c r="C7" i="4" s="1"/>
  <c r="C71" i="4"/>
  <c r="C75" i="4"/>
  <c r="C79" i="4"/>
  <c r="C5" i="2"/>
  <c r="C8" i="2"/>
  <c r="C18" i="2"/>
  <c r="C21" i="2"/>
  <c r="B20" i="14" l="1"/>
  <c r="G22" i="15"/>
  <c r="G23" i="15" s="1"/>
  <c r="I19" i="15"/>
  <c r="D22" i="15"/>
  <c r="D23" i="15" s="1"/>
  <c r="I21" i="15"/>
  <c r="I20" i="15"/>
  <c r="H22" i="15"/>
  <c r="H23" i="15" s="1"/>
  <c r="I29" i="15"/>
  <c r="I30" i="15"/>
  <c r="I31" i="15"/>
  <c r="C24" i="15"/>
  <c r="C33" i="15" s="1"/>
  <c r="C34" i="15" s="1"/>
  <c r="I32" i="15"/>
  <c r="G24" i="15"/>
  <c r="G33" i="15" s="1"/>
  <c r="Q57" i="9"/>
  <c r="S57" i="9"/>
  <c r="O57" i="9"/>
  <c r="D20" i="1" s="1"/>
  <c r="E74" i="5"/>
  <c r="D74" i="5"/>
  <c r="B26" i="14"/>
  <c r="H24" i="15"/>
  <c r="H33" i="15" s="1"/>
  <c r="H34" i="15" s="1"/>
  <c r="E22" i="15"/>
  <c r="F22" i="15"/>
  <c r="E20" i="1"/>
  <c r="B41" i="14"/>
  <c r="C21" i="10"/>
  <c r="C20" i="10" s="1"/>
  <c r="B15" i="1"/>
  <c r="C13" i="1"/>
  <c r="C10" i="1" s="1"/>
  <c r="C38" i="14"/>
  <c r="C27" i="14"/>
  <c r="C26" i="14" s="1"/>
  <c r="B10" i="1"/>
  <c r="C13" i="10"/>
  <c r="C22" i="4"/>
  <c r="C58" i="4" s="1"/>
  <c r="B22" i="4"/>
  <c r="B8" i="10"/>
  <c r="C8" i="10"/>
  <c r="C77" i="4"/>
  <c r="C82" i="4" s="1"/>
  <c r="C35" i="14"/>
  <c r="I18" i="15"/>
  <c r="B22" i="15"/>
  <c r="I14" i="15"/>
  <c r="I13" i="15"/>
  <c r="B3" i="14"/>
  <c r="C16" i="10"/>
  <c r="B27" i="10"/>
  <c r="B20" i="10"/>
  <c r="B13" i="10"/>
  <c r="B16" i="10"/>
  <c r="C27" i="10"/>
  <c r="C19" i="10" s="1"/>
  <c r="C15" i="1"/>
  <c r="M45" i="9"/>
  <c r="B19" i="1" s="1"/>
  <c r="B18" i="1" s="1"/>
  <c r="B14" i="1" s="1"/>
  <c r="D18" i="5"/>
  <c r="B77" i="4"/>
  <c r="B82" i="4" s="1"/>
  <c r="B26" i="2"/>
  <c r="B7" i="10" s="1"/>
  <c r="B4" i="10" s="1"/>
  <c r="I25" i="15"/>
  <c r="C20" i="14"/>
  <c r="C3" i="14"/>
  <c r="N45" i="9"/>
  <c r="C19" i="1" s="1"/>
  <c r="C18" i="1" s="1"/>
  <c r="E18" i="5"/>
  <c r="C26" i="2"/>
  <c r="C7" i="10" s="1"/>
  <c r="C4" i="10" s="1"/>
  <c r="C13" i="2"/>
  <c r="C5" i="1" s="1"/>
  <c r="H43" i="15"/>
  <c r="G43" i="15"/>
  <c r="F43" i="15"/>
  <c r="F41" i="15"/>
  <c r="F40" i="15"/>
  <c r="E43" i="15"/>
  <c r="E36" i="15"/>
  <c r="D39" i="15"/>
  <c r="D36" i="15"/>
  <c r="B42" i="15"/>
  <c r="I42" i="15" s="1"/>
  <c r="B41" i="15"/>
  <c r="B40" i="15"/>
  <c r="B38" i="15"/>
  <c r="B37" i="15"/>
  <c r="I37" i="15" s="1"/>
  <c r="B36" i="15"/>
  <c r="I39" i="15"/>
  <c r="I38" i="15"/>
  <c r="E39" i="14"/>
  <c r="E40" i="14"/>
  <c r="D28" i="14"/>
  <c r="D26" i="14" s="1"/>
  <c r="D23" i="14"/>
  <c r="D22" i="14"/>
  <c r="D21" i="14"/>
  <c r="D12" i="14"/>
  <c r="D18" i="14"/>
  <c r="D15" i="14"/>
  <c r="D14" i="14"/>
  <c r="D13" i="14"/>
  <c r="D11" i="14"/>
  <c r="D10" i="14"/>
  <c r="D9" i="14"/>
  <c r="D8" i="14"/>
  <c r="D7" i="14"/>
  <c r="D6" i="14"/>
  <c r="D5" i="14"/>
  <c r="E65" i="4"/>
  <c r="F65" i="4"/>
  <c r="G65" i="4"/>
  <c r="H65" i="4"/>
  <c r="D65" i="4"/>
  <c r="D4" i="14"/>
  <c r="D26" i="10"/>
  <c r="D25" i="10" s="1"/>
  <c r="D9" i="10"/>
  <c r="D10" i="10"/>
  <c r="D11" i="10"/>
  <c r="D14" i="10"/>
  <c r="D28" i="10"/>
  <c r="D29" i="10"/>
  <c r="D30" i="10"/>
  <c r="D31" i="10"/>
  <c r="D6" i="1"/>
  <c r="D16" i="1"/>
  <c r="D17" i="1"/>
  <c r="O46" i="9"/>
  <c r="O51" i="9"/>
  <c r="D9" i="12"/>
  <c r="D7" i="13"/>
  <c r="D41" i="14" s="1"/>
  <c r="D14" i="13"/>
  <c r="D22" i="10" s="1"/>
  <c r="D6" i="11"/>
  <c r="D15" i="10" s="1"/>
  <c r="D16" i="7"/>
  <c r="D5" i="6"/>
  <c r="D8" i="6"/>
  <c r="D19" i="6"/>
  <c r="E17" i="6" s="1"/>
  <c r="E19" i="6" s="1"/>
  <c r="F17" i="6" s="1"/>
  <c r="F19" i="6" s="1"/>
  <c r="G17" i="6" s="1"/>
  <c r="G19" i="6" s="1"/>
  <c r="H19" i="6" s="1"/>
  <c r="F5" i="5"/>
  <c r="F8" i="5"/>
  <c r="F20" i="5"/>
  <c r="F26" i="5" s="1"/>
  <c r="D12" i="1" s="1"/>
  <c r="F41" i="5"/>
  <c r="D5" i="10" s="1"/>
  <c r="F50" i="5"/>
  <c r="F57" i="5"/>
  <c r="G55" i="5" s="1"/>
  <c r="G57" i="5" s="1"/>
  <c r="H55" i="5" s="1"/>
  <c r="H57" i="5" s="1"/>
  <c r="I55" i="5" s="1"/>
  <c r="F62" i="5"/>
  <c r="F65" i="5"/>
  <c r="D76" i="4"/>
  <c r="D24" i="10" s="1"/>
  <c r="D23" i="10" s="1"/>
  <c r="D49" i="4"/>
  <c r="D44" i="4"/>
  <c r="D41" i="4"/>
  <c r="D11" i="1"/>
  <c r="D17" i="4"/>
  <c r="D7" i="4" s="1"/>
  <c r="D71" i="4"/>
  <c r="D79" i="4"/>
  <c r="D35" i="14"/>
  <c r="D5" i="2"/>
  <c r="D13" i="2" s="1"/>
  <c r="D5" i="1" s="1"/>
  <c r="D8" i="2"/>
  <c r="D18" i="2"/>
  <c r="D21" i="2"/>
  <c r="H54" i="15"/>
  <c r="G54" i="15"/>
  <c r="F54" i="15"/>
  <c r="F53" i="15"/>
  <c r="I53" i="15" s="1"/>
  <c r="F52" i="15"/>
  <c r="F51" i="15"/>
  <c r="I51" i="15" s="1"/>
  <c r="F47" i="15"/>
  <c r="E54" i="15"/>
  <c r="E47" i="15"/>
  <c r="D50" i="15"/>
  <c r="I50" i="15" s="1"/>
  <c r="D47" i="15"/>
  <c r="B52" i="15"/>
  <c r="B51" i="15"/>
  <c r="B49" i="15"/>
  <c r="I49" i="15" s="1"/>
  <c r="B48" i="15"/>
  <c r="I48" i="15" s="1"/>
  <c r="B47" i="15"/>
  <c r="F39" i="14"/>
  <c r="F40" i="14"/>
  <c r="E28" i="14"/>
  <c r="F27" i="14" s="1"/>
  <c r="E21" i="14"/>
  <c r="E23" i="14"/>
  <c r="E22" i="14"/>
  <c r="E14" i="14"/>
  <c r="E18" i="14"/>
  <c r="E13" i="14"/>
  <c r="E12" i="14"/>
  <c r="E11" i="14"/>
  <c r="E10" i="14"/>
  <c r="E8" i="14"/>
  <c r="E6" i="14"/>
  <c r="E5" i="14"/>
  <c r="E4" i="14"/>
  <c r="E9" i="10"/>
  <c r="E10" i="10"/>
  <c r="E11" i="10"/>
  <c r="E14" i="10"/>
  <c r="E24" i="10"/>
  <c r="E23" i="10" s="1"/>
  <c r="E26" i="10"/>
  <c r="E25" i="10" s="1"/>
  <c r="E29" i="10"/>
  <c r="E30" i="10"/>
  <c r="E31" i="10"/>
  <c r="E6" i="1"/>
  <c r="E9" i="1"/>
  <c r="E16" i="1"/>
  <c r="E17" i="1"/>
  <c r="E15" i="1" s="1"/>
  <c r="P46" i="9"/>
  <c r="P51" i="9"/>
  <c r="E9" i="12"/>
  <c r="E7" i="13"/>
  <c r="E21" i="10" s="1"/>
  <c r="E14" i="13"/>
  <c r="E41" i="14" s="1"/>
  <c r="E6" i="11"/>
  <c r="E15" i="10" s="1"/>
  <c r="I6" i="8"/>
  <c r="E16" i="7"/>
  <c r="E28" i="10" s="1"/>
  <c r="F8" i="6"/>
  <c r="E8" i="6"/>
  <c r="E5" i="6"/>
  <c r="E12" i="6" s="1"/>
  <c r="G62" i="5"/>
  <c r="G65" i="5"/>
  <c r="G50" i="5"/>
  <c r="G41" i="5"/>
  <c r="E5" i="10" s="1"/>
  <c r="G5" i="5"/>
  <c r="G8" i="5"/>
  <c r="G20" i="5"/>
  <c r="G26" i="5" s="1"/>
  <c r="E12" i="1" s="1"/>
  <c r="F79" i="4"/>
  <c r="G79" i="4"/>
  <c r="H79" i="4"/>
  <c r="E79" i="4"/>
  <c r="E71" i="4"/>
  <c r="E75" i="4"/>
  <c r="E49" i="4"/>
  <c r="E17" i="4"/>
  <c r="E7" i="4" s="1"/>
  <c r="E11" i="1"/>
  <c r="E18" i="2"/>
  <c r="E21" i="2"/>
  <c r="E5" i="2"/>
  <c r="E8" i="2"/>
  <c r="I64" i="15"/>
  <c r="H66" i="15"/>
  <c r="F66" i="15"/>
  <c r="F63" i="15"/>
  <c r="I63" i="15" s="1"/>
  <c r="F62" i="15"/>
  <c r="E66" i="15"/>
  <c r="E58" i="15"/>
  <c r="D61" i="15"/>
  <c r="I61" i="15" s="1"/>
  <c r="D58" i="15"/>
  <c r="B65" i="15"/>
  <c r="I65" i="15" s="1"/>
  <c r="B62" i="15"/>
  <c r="B60" i="15"/>
  <c r="I60" i="15" s="1"/>
  <c r="B59" i="15"/>
  <c r="I59" i="15" s="1"/>
  <c r="B58" i="15"/>
  <c r="G39" i="14"/>
  <c r="G40" i="14"/>
  <c r="F28" i="14"/>
  <c r="G27" i="14" s="1"/>
  <c r="F23" i="14"/>
  <c r="F22" i="14"/>
  <c r="G23" i="14"/>
  <c r="H23" i="14"/>
  <c r="F21" i="14"/>
  <c r="F18" i="14"/>
  <c r="F13" i="14"/>
  <c r="F12" i="14"/>
  <c r="F11" i="14"/>
  <c r="F10" i="14"/>
  <c r="F8" i="14"/>
  <c r="F6" i="14"/>
  <c r="F5" i="14"/>
  <c r="F4" i="14"/>
  <c r="F14" i="10"/>
  <c r="F9" i="10"/>
  <c r="F10" i="10"/>
  <c r="F11" i="10"/>
  <c r="F22" i="10"/>
  <c r="F29" i="10"/>
  <c r="F30" i="10"/>
  <c r="F31" i="10"/>
  <c r="F16" i="1"/>
  <c r="F17" i="1"/>
  <c r="F20" i="1"/>
  <c r="Q46" i="9"/>
  <c r="Q51" i="9"/>
  <c r="F9" i="12"/>
  <c r="F7" i="13"/>
  <c r="F41" i="14" s="1"/>
  <c r="F14" i="13"/>
  <c r="F6" i="11"/>
  <c r="F15" i="10" s="1"/>
  <c r="J6" i="8"/>
  <c r="F16" i="7"/>
  <c r="F28" i="10" s="1"/>
  <c r="F5" i="6"/>
  <c r="F9" i="1" s="1"/>
  <c r="H93" i="5"/>
  <c r="F26" i="10" s="1"/>
  <c r="F25" i="10" s="1"/>
  <c r="H62" i="5"/>
  <c r="H65" i="5"/>
  <c r="H50" i="5"/>
  <c r="H41" i="5"/>
  <c r="F5" i="10" s="1"/>
  <c r="H5" i="5"/>
  <c r="H8" i="5"/>
  <c r="H20" i="5"/>
  <c r="H26" i="5" s="1"/>
  <c r="F12" i="1" s="1"/>
  <c r="F76" i="4"/>
  <c r="F75" i="4" s="1"/>
  <c r="F71" i="4"/>
  <c r="F49" i="4"/>
  <c r="F17" i="4"/>
  <c r="F7" i="4" s="1"/>
  <c r="F11" i="1"/>
  <c r="F6" i="1"/>
  <c r="F18" i="2"/>
  <c r="F21" i="2"/>
  <c r="F5" i="2"/>
  <c r="F8" i="2"/>
  <c r="D24" i="15" l="1"/>
  <c r="D33" i="15" s="1"/>
  <c r="D34" i="15" s="1"/>
  <c r="I58" i="15"/>
  <c r="I41" i="15"/>
  <c r="H35" i="15"/>
  <c r="H44" i="15" s="1"/>
  <c r="H45" i="15" s="1"/>
  <c r="C35" i="15"/>
  <c r="C44" i="15" s="1"/>
  <c r="C45" i="15" s="1"/>
  <c r="H74" i="5"/>
  <c r="G74" i="5"/>
  <c r="F74" i="5"/>
  <c r="I62" i="15"/>
  <c r="I40" i="15"/>
  <c r="F23" i="15"/>
  <c r="F24" i="15"/>
  <c r="F33" i="15" s="1"/>
  <c r="F35" i="15" s="1"/>
  <c r="F44" i="15" s="1"/>
  <c r="I66" i="15"/>
  <c r="E23" i="15"/>
  <c r="E24" i="15"/>
  <c r="E33" i="15" s="1"/>
  <c r="I43" i="15"/>
  <c r="B23" i="15"/>
  <c r="B24" i="15"/>
  <c r="B33" i="15" s="1"/>
  <c r="B34" i="15" s="1"/>
  <c r="M68" i="9"/>
  <c r="C14" i="1"/>
  <c r="E22" i="10"/>
  <c r="E20" i="10" s="1"/>
  <c r="D21" i="10"/>
  <c r="D20" i="10" s="1"/>
  <c r="F21" i="10"/>
  <c r="D12" i="6"/>
  <c r="F38" i="14"/>
  <c r="B19" i="10"/>
  <c r="F15" i="1"/>
  <c r="E26" i="2"/>
  <c r="E7" i="10" s="1"/>
  <c r="E4" i="10" s="1"/>
  <c r="F10" i="1"/>
  <c r="E10" i="1"/>
  <c r="E29" i="5"/>
  <c r="C8" i="1"/>
  <c r="D29" i="5"/>
  <c r="B8" i="1"/>
  <c r="D10" i="1"/>
  <c r="D22" i="4"/>
  <c r="D6" i="4" s="1"/>
  <c r="D5" i="4" s="1"/>
  <c r="F22" i="4"/>
  <c r="F6" i="4" s="1"/>
  <c r="F5" i="4" s="1"/>
  <c r="E22" i="4"/>
  <c r="E6" i="4" s="1"/>
  <c r="E5" i="4" s="1"/>
  <c r="C6" i="4"/>
  <c r="C5" i="4" s="1"/>
  <c r="C7" i="1" s="1"/>
  <c r="E8" i="10"/>
  <c r="C3" i="10"/>
  <c r="C32" i="10" s="1"/>
  <c r="C34" i="14" s="1"/>
  <c r="D8" i="10"/>
  <c r="C11" i="4"/>
  <c r="F8" i="10"/>
  <c r="B11" i="4"/>
  <c r="B7" i="1"/>
  <c r="D26" i="2"/>
  <c r="D7" i="10" s="1"/>
  <c r="D4" i="10" s="1"/>
  <c r="G34" i="15"/>
  <c r="G35" i="15"/>
  <c r="G44" i="15" s="1"/>
  <c r="D35" i="15"/>
  <c r="D44" i="15" s="1"/>
  <c r="I22" i="15"/>
  <c r="F20" i="14"/>
  <c r="E20" i="14"/>
  <c r="D20" i="14"/>
  <c r="E27" i="14"/>
  <c r="E26" i="14" s="1"/>
  <c r="E16" i="10"/>
  <c r="F20" i="10"/>
  <c r="F16" i="10"/>
  <c r="D13" i="10"/>
  <c r="B3" i="10"/>
  <c r="E13" i="10"/>
  <c r="F27" i="10"/>
  <c r="D16" i="10"/>
  <c r="D15" i="1"/>
  <c r="B58" i="4"/>
  <c r="F35" i="14"/>
  <c r="E35" i="14"/>
  <c r="C46" i="15"/>
  <c r="C55" i="15" s="1"/>
  <c r="N68" i="9"/>
  <c r="D27" i="10"/>
  <c r="I36" i="15"/>
  <c r="D3" i="14"/>
  <c r="E77" i="4"/>
  <c r="E82" i="4" s="1"/>
  <c r="D75" i="4"/>
  <c r="D77" i="4" s="1"/>
  <c r="D82" i="4" s="1"/>
  <c r="F24" i="10"/>
  <c r="F23" i="10" s="1"/>
  <c r="O45" i="9"/>
  <c r="F18" i="5"/>
  <c r="I47" i="15"/>
  <c r="I52" i="15"/>
  <c r="I54" i="15"/>
  <c r="F26" i="14"/>
  <c r="E3" i="14"/>
  <c r="E27" i="10"/>
  <c r="P45" i="9"/>
  <c r="G18" i="5"/>
  <c r="E13" i="2"/>
  <c r="E5" i="1" s="1"/>
  <c r="F3" i="14"/>
  <c r="F13" i="10"/>
  <c r="Q45" i="9"/>
  <c r="H18" i="5"/>
  <c r="F77" i="4"/>
  <c r="F82" i="4" s="1"/>
  <c r="F26" i="2"/>
  <c r="F7" i="10" s="1"/>
  <c r="F4" i="10" s="1"/>
  <c r="F13" i="2"/>
  <c r="F5" i="1" s="1"/>
  <c r="B32" i="10" l="1"/>
  <c r="B34" i="14" s="1"/>
  <c r="B42" i="14" s="1"/>
  <c r="F34" i="15"/>
  <c r="D19" i="10"/>
  <c r="B4" i="1"/>
  <c r="B3" i="1" s="1"/>
  <c r="C4" i="1"/>
  <c r="C3" i="1" s="1"/>
  <c r="E58" i="4"/>
  <c r="E34" i="15"/>
  <c r="E35" i="15"/>
  <c r="E44" i="15" s="1"/>
  <c r="I23" i="15"/>
  <c r="I24" i="15"/>
  <c r="I33" i="15" s="1"/>
  <c r="I34" i="15" s="1"/>
  <c r="B35" i="15"/>
  <c r="B44" i="15" s="1"/>
  <c r="B45" i="15" s="1"/>
  <c r="H46" i="15"/>
  <c r="H55" i="15" s="1"/>
  <c r="P68" i="9"/>
  <c r="E19" i="1"/>
  <c r="E18" i="1" s="1"/>
  <c r="E14" i="1" s="1"/>
  <c r="O68" i="9"/>
  <c r="D19" i="1"/>
  <c r="D18" i="1" s="1"/>
  <c r="D14" i="1" s="1"/>
  <c r="E19" i="10"/>
  <c r="D38" i="14"/>
  <c r="D9" i="1"/>
  <c r="E38" i="14"/>
  <c r="C37" i="14"/>
  <c r="G29" i="5"/>
  <c r="E8" i="1"/>
  <c r="F29" i="5"/>
  <c r="D37" i="14" s="1"/>
  <c r="D8" i="1"/>
  <c r="H29" i="5"/>
  <c r="F37" i="14" s="1"/>
  <c r="F8" i="1"/>
  <c r="F58" i="4"/>
  <c r="C36" i="14"/>
  <c r="F45" i="15"/>
  <c r="F46" i="15"/>
  <c r="F55" i="15" s="1"/>
  <c r="F56" i="15" s="1"/>
  <c r="F19" i="10"/>
  <c r="E3" i="10"/>
  <c r="F3" i="10"/>
  <c r="D3" i="10"/>
  <c r="G45" i="15"/>
  <c r="G46" i="15"/>
  <c r="G55" i="15" s="1"/>
  <c r="E45" i="15"/>
  <c r="E46" i="15"/>
  <c r="E55" i="15" s="1"/>
  <c r="E56" i="15" s="1"/>
  <c r="C56" i="15"/>
  <c r="C57" i="15"/>
  <c r="C67" i="15" s="1"/>
  <c r="D45" i="15"/>
  <c r="D46" i="15"/>
  <c r="D55" i="15" s="1"/>
  <c r="D57" i="15" s="1"/>
  <c r="D67" i="15" s="1"/>
  <c r="D68" i="15" s="1"/>
  <c r="H56" i="15"/>
  <c r="H57" i="15"/>
  <c r="H67" i="15" s="1"/>
  <c r="D58" i="4"/>
  <c r="D11" i="4"/>
  <c r="D36" i="14" s="1"/>
  <c r="D7" i="1"/>
  <c r="E11" i="4"/>
  <c r="E7" i="1"/>
  <c r="F11" i="4"/>
  <c r="F7" i="1"/>
  <c r="Q68" i="9"/>
  <c r="F19" i="1"/>
  <c r="F18" i="1" s="1"/>
  <c r="F14" i="1" s="1"/>
  <c r="F57" i="15" l="1"/>
  <c r="F67" i="15" s="1"/>
  <c r="F69" i="15" s="1"/>
  <c r="D32" i="10"/>
  <c r="D34" i="14" s="1"/>
  <c r="D42" i="14" s="1"/>
  <c r="B46" i="15"/>
  <c r="B55" i="15" s="1"/>
  <c r="I35" i="15"/>
  <c r="I44" i="15" s="1"/>
  <c r="I45" i="15" s="1"/>
  <c r="E4" i="1"/>
  <c r="E3" i="1" s="1"/>
  <c r="C42" i="14"/>
  <c r="E32" i="10"/>
  <c r="E34" i="14" s="1"/>
  <c r="D4" i="1"/>
  <c r="D3" i="1" s="1"/>
  <c r="E37" i="14"/>
  <c r="F4" i="1"/>
  <c r="F3" i="1" s="1"/>
  <c r="F36" i="14"/>
  <c r="F32" i="10"/>
  <c r="F34" i="14" s="1"/>
  <c r="D56" i="15"/>
  <c r="E57" i="15"/>
  <c r="E67" i="15" s="1"/>
  <c r="E69" i="15" s="1"/>
  <c r="C68" i="15"/>
  <c r="C69" i="15"/>
  <c r="G56" i="15"/>
  <c r="G57" i="15"/>
  <c r="G67" i="15" s="1"/>
  <c r="D69" i="15"/>
  <c r="E36" i="14"/>
  <c r="H68" i="15"/>
  <c r="H69" i="15"/>
  <c r="I46" i="15" l="1"/>
  <c r="I55" i="15" s="1"/>
  <c r="I56" i="15" s="1"/>
  <c r="F68" i="15"/>
  <c r="B57" i="15"/>
  <c r="B67" i="15" s="1"/>
  <c r="B56" i="15"/>
  <c r="E42" i="14"/>
  <c r="F42" i="14"/>
  <c r="E68" i="15"/>
  <c r="G69" i="15"/>
  <c r="G68" i="15"/>
  <c r="I57" i="15" l="1"/>
  <c r="I67" i="15" s="1"/>
  <c r="I68" i="15" s="1"/>
  <c r="B68" i="15"/>
  <c r="B69" i="15"/>
  <c r="I69" i="15"/>
  <c r="G92" i="15"/>
  <c r="F92" i="15"/>
  <c r="F90" i="15"/>
  <c r="F89" i="15"/>
  <c r="F86" i="15"/>
  <c r="I86" i="15" s="1"/>
  <c r="E92" i="15"/>
  <c r="E83" i="15"/>
  <c r="D88" i="15"/>
  <c r="I88" i="15" s="1"/>
  <c r="D83" i="15"/>
  <c r="C87" i="15"/>
  <c r="I87" i="15" s="1"/>
  <c r="C83" i="15"/>
  <c r="B91" i="15"/>
  <c r="B90" i="15"/>
  <c r="B89" i="15"/>
  <c r="B85" i="15"/>
  <c r="I85" i="15" s="1"/>
  <c r="B84" i="15"/>
  <c r="I84" i="15" s="1"/>
  <c r="B83" i="15"/>
  <c r="G80" i="15"/>
  <c r="G81" i="15" s="1"/>
  <c r="H80" i="15"/>
  <c r="H82" i="15" s="1"/>
  <c r="H93" i="15" s="1"/>
  <c r="H94" i="15" s="1"/>
  <c r="I73" i="15"/>
  <c r="F76" i="15"/>
  <c r="F77" i="15"/>
  <c r="I77" i="15" s="1"/>
  <c r="F78" i="15"/>
  <c r="I78" i="15" s="1"/>
  <c r="F79" i="15"/>
  <c r="E79" i="15"/>
  <c r="E70" i="15"/>
  <c r="D75" i="15"/>
  <c r="I75" i="15" s="1"/>
  <c r="D70" i="15"/>
  <c r="C74" i="15"/>
  <c r="C80" i="15" s="1"/>
  <c r="C81" i="15" s="1"/>
  <c r="B76" i="15"/>
  <c r="B72" i="15"/>
  <c r="I72" i="15" s="1"/>
  <c r="B71" i="15"/>
  <c r="I71" i="15" s="1"/>
  <c r="B70" i="15"/>
  <c r="I70" i="15" l="1"/>
  <c r="D80" i="15"/>
  <c r="D81" i="15" s="1"/>
  <c r="I89" i="15"/>
  <c r="I79" i="15"/>
  <c r="F80" i="15"/>
  <c r="F82" i="15" s="1"/>
  <c r="F93" i="15" s="1"/>
  <c r="F94" i="15" s="1"/>
  <c r="I83" i="15"/>
  <c r="B80" i="15"/>
  <c r="B81" i="15" s="1"/>
  <c r="I76" i="15"/>
  <c r="E80" i="15"/>
  <c r="E81" i="15" s="1"/>
  <c r="H81" i="15"/>
  <c r="G82" i="15"/>
  <c r="G93" i="15" s="1"/>
  <c r="G94" i="15" s="1"/>
  <c r="C82" i="15"/>
  <c r="C94" i="15" s="1"/>
  <c r="I74" i="15"/>
  <c r="G28" i="14"/>
  <c r="H27" i="14" s="1"/>
  <c r="H26" i="14" s="1"/>
  <c r="H22" i="14"/>
  <c r="H21" i="14"/>
  <c r="G22" i="14"/>
  <c r="G21" i="14"/>
  <c r="H13" i="14"/>
  <c r="H8" i="14"/>
  <c r="H7" i="14"/>
  <c r="H18" i="14"/>
  <c r="H11" i="14"/>
  <c r="H10" i="14"/>
  <c r="H9" i="14"/>
  <c r="H6" i="14"/>
  <c r="H5" i="14"/>
  <c r="H4" i="14"/>
  <c r="G9" i="14"/>
  <c r="G4" i="14"/>
  <c r="G5" i="14"/>
  <c r="G6" i="14"/>
  <c r="G7" i="14"/>
  <c r="G8" i="14"/>
  <c r="G10" i="14"/>
  <c r="G11" i="14"/>
  <c r="G12" i="14"/>
  <c r="G13" i="14"/>
  <c r="G18" i="14"/>
  <c r="H29" i="10"/>
  <c r="H30" i="10"/>
  <c r="H31" i="10"/>
  <c r="G31" i="10"/>
  <c r="G30" i="10"/>
  <c r="G29" i="10"/>
  <c r="I93" i="5"/>
  <c r="G26" i="10" s="1"/>
  <c r="G25" i="10" s="1"/>
  <c r="J93" i="5"/>
  <c r="H26" i="10" s="1"/>
  <c r="H25" i="10" s="1"/>
  <c r="J83" i="5"/>
  <c r="I83" i="5"/>
  <c r="J81" i="5"/>
  <c r="I81" i="5"/>
  <c r="J62" i="5"/>
  <c r="J65" i="5"/>
  <c r="I65" i="5"/>
  <c r="I62" i="5"/>
  <c r="I74" i="5" s="1"/>
  <c r="G24" i="10"/>
  <c r="G23" i="10" s="1"/>
  <c r="H24" i="10"/>
  <c r="H23" i="10" s="1"/>
  <c r="H14" i="13"/>
  <c r="H22" i="10" s="1"/>
  <c r="G14" i="13"/>
  <c r="G22" i="10" s="1"/>
  <c r="G7" i="13"/>
  <c r="G41" i="14" s="1"/>
  <c r="G9" i="12"/>
  <c r="H6" i="11"/>
  <c r="H15" i="10" s="1"/>
  <c r="G6" i="11"/>
  <c r="G15" i="10" s="1"/>
  <c r="G14" i="10"/>
  <c r="H14" i="10"/>
  <c r="I57" i="5"/>
  <c r="J55" i="5" s="1"/>
  <c r="J57" i="5" s="1"/>
  <c r="J50" i="5"/>
  <c r="I50" i="5"/>
  <c r="G9" i="10"/>
  <c r="G10" i="10"/>
  <c r="G11" i="10"/>
  <c r="H11" i="10"/>
  <c r="H10" i="10"/>
  <c r="H9" i="10"/>
  <c r="I41" i="5"/>
  <c r="G5" i="10" s="1"/>
  <c r="H5" i="10"/>
  <c r="H4" i="10" s="1"/>
  <c r="H20" i="1"/>
  <c r="R51" i="9"/>
  <c r="R46" i="9"/>
  <c r="G20" i="1"/>
  <c r="G17" i="1"/>
  <c r="H17" i="1"/>
  <c r="L6" i="8"/>
  <c r="K6" i="8"/>
  <c r="G16" i="1"/>
  <c r="G15" i="1" s="1"/>
  <c r="H16" i="1"/>
  <c r="H15" i="1" s="1"/>
  <c r="H16" i="7"/>
  <c r="H28" i="10" s="1"/>
  <c r="G16" i="7"/>
  <c r="G28" i="10" s="1"/>
  <c r="H5" i="6"/>
  <c r="H12" i="6" s="1"/>
  <c r="G5" i="6"/>
  <c r="G12" i="6" s="1"/>
  <c r="J20" i="5"/>
  <c r="J26" i="5" s="1"/>
  <c r="H12" i="1" s="1"/>
  <c r="I20" i="5"/>
  <c r="I26" i="5" s="1"/>
  <c r="J8" i="5"/>
  <c r="I8" i="5"/>
  <c r="J5" i="5"/>
  <c r="I5" i="5"/>
  <c r="G75" i="4"/>
  <c r="H75" i="4"/>
  <c r="H71" i="4"/>
  <c r="G71" i="4"/>
  <c r="G49" i="4"/>
  <c r="G22" i="4" s="1"/>
  <c r="H49" i="4"/>
  <c r="H17" i="4"/>
  <c r="G17" i="4"/>
  <c r="G7" i="4" s="1"/>
  <c r="H11" i="1"/>
  <c r="G11" i="1"/>
  <c r="G35" i="14"/>
  <c r="H21" i="2"/>
  <c r="G21" i="2"/>
  <c r="H18" i="2"/>
  <c r="G18" i="2"/>
  <c r="G8" i="2"/>
  <c r="G5" i="2"/>
  <c r="H8" i="2"/>
  <c r="H5" i="2"/>
  <c r="H13" i="2" s="1"/>
  <c r="H5" i="1" s="1"/>
  <c r="H3" i="14" l="1"/>
  <c r="J74" i="5"/>
  <c r="I84" i="5"/>
  <c r="G20" i="14"/>
  <c r="H21" i="10"/>
  <c r="H20" i="10" s="1"/>
  <c r="G21" i="10"/>
  <c r="G20" i="10" s="1"/>
  <c r="G19" i="10" s="1"/>
  <c r="H20" i="14"/>
  <c r="H27" i="10"/>
  <c r="H10" i="1"/>
  <c r="G8" i="10"/>
  <c r="H8" i="10"/>
  <c r="G27" i="10"/>
  <c r="G6" i="1"/>
  <c r="H35" i="14"/>
  <c r="H6" i="1"/>
  <c r="H77" i="4"/>
  <c r="H82" i="4" s="1"/>
  <c r="G77" i="4"/>
  <c r="G82" i="4" s="1"/>
  <c r="E82" i="15"/>
  <c r="E93" i="15" s="1"/>
  <c r="E94" i="15" s="1"/>
  <c r="D82" i="15"/>
  <c r="D93" i="15" s="1"/>
  <c r="D94" i="15" s="1"/>
  <c r="G9" i="1"/>
  <c r="G38" i="14"/>
  <c r="G58" i="4"/>
  <c r="G6" i="4"/>
  <c r="G5" i="4" s="1"/>
  <c r="G7" i="1" s="1"/>
  <c r="H58" i="4"/>
  <c r="H5" i="4"/>
  <c r="H7" i="1" s="1"/>
  <c r="I80" i="15"/>
  <c r="I81" i="15" s="1"/>
  <c r="F81" i="15"/>
  <c r="H38" i="14"/>
  <c r="H9" i="1"/>
  <c r="G26" i="14"/>
  <c r="G3" i="14"/>
  <c r="G13" i="10"/>
  <c r="G16" i="10"/>
  <c r="H13" i="10"/>
  <c r="G12" i="1"/>
  <c r="G10" i="1" s="1"/>
  <c r="I18" i="5"/>
  <c r="I29" i="5" s="1"/>
  <c r="G37" i="14" s="1"/>
  <c r="H16" i="10"/>
  <c r="H3" i="10" s="1"/>
  <c r="H32" i="10" s="1"/>
  <c r="H34" i="14" s="1"/>
  <c r="R45" i="9"/>
  <c r="H19" i="1"/>
  <c r="H18" i="1" s="1"/>
  <c r="H14" i="1" s="1"/>
  <c r="J18" i="5"/>
  <c r="H37" i="14" s="1"/>
  <c r="G26" i="2"/>
  <c r="G7" i="10" s="1"/>
  <c r="G4" i="10" s="1"/>
  <c r="H26" i="2"/>
  <c r="H7" i="10" s="1"/>
  <c r="G13" i="2"/>
  <c r="G5" i="1" s="1"/>
  <c r="H19" i="10" l="1"/>
  <c r="R68" i="9"/>
  <c r="G19" i="1"/>
  <c r="G18" i="1" s="1"/>
  <c r="G14" i="1" s="1"/>
  <c r="H11" i="4"/>
  <c r="I82" i="15"/>
  <c r="G11" i="4"/>
  <c r="G36" i="14" s="1"/>
  <c r="H8" i="1"/>
  <c r="H4" i="1" s="1"/>
  <c r="H3" i="1" s="1"/>
  <c r="G8" i="1"/>
  <c r="G4" i="1" s="1"/>
  <c r="G3" i="1" s="1"/>
  <c r="G3" i="10"/>
  <c r="G32" i="10" s="1"/>
  <c r="G34" i="14" s="1"/>
  <c r="I94" i="15" l="1"/>
  <c r="I95" i="15"/>
  <c r="G42" i="14"/>
  <c r="H36" i="14"/>
  <c r="H42" i="14" s="1"/>
  <c r="I108" i="15" l="1"/>
</calcChain>
</file>

<file path=xl/sharedStrings.xml><?xml version="1.0" encoding="utf-8"?>
<sst xmlns="http://schemas.openxmlformats.org/spreadsheetml/2006/main" count="2067" uniqueCount="404">
  <si>
    <t>Ativo total</t>
  </si>
  <si>
    <t>Circulante</t>
  </si>
  <si>
    <t>Recursos retidos</t>
  </si>
  <si>
    <t>BB</t>
  </si>
  <si>
    <t>CEF</t>
  </si>
  <si>
    <t>Recursos a aplicar</t>
  </si>
  <si>
    <t>BNDES</t>
  </si>
  <si>
    <t>FPS</t>
  </si>
  <si>
    <t>TOTAL</t>
  </si>
  <si>
    <t>R$ mil</t>
  </si>
  <si>
    <t>R$ milhões</t>
  </si>
  <si>
    <t>Rendas de recursos disponíveis</t>
  </si>
  <si>
    <t>4 - Caixa e Equivalentes de Caixa</t>
  </si>
  <si>
    <t>a) Composição</t>
  </si>
  <si>
    <t>b) Rendas de recursos disponíveis</t>
  </si>
  <si>
    <t>5 - Valores mantidos junto a agentes financeiros</t>
  </si>
  <si>
    <t>Valores mantidos junto a agentes financeiros (5)</t>
  </si>
  <si>
    <t>Remuneração de valores mantidos junto a Caixa</t>
  </si>
  <si>
    <t>Remuneração de valores mantidos junto ao BB</t>
  </si>
  <si>
    <t>6 - Ativo financeiro a valor justo com ajuste a resultado</t>
  </si>
  <si>
    <t>a) Composição por natureza</t>
  </si>
  <si>
    <t>Ativos financeiros mantidos para negociação</t>
  </si>
  <si>
    <t>Ativos financeiros mantidos até o vencimento</t>
  </si>
  <si>
    <t>Ações</t>
  </si>
  <si>
    <t>Fundos mútuos de investimento</t>
  </si>
  <si>
    <t>Debêntures</t>
  </si>
  <si>
    <t>b) Fundos mútuos de investimento</t>
  </si>
  <si>
    <t xml:space="preserve">Fator Sinergia </t>
  </si>
  <si>
    <t>c) Ações, certificados de ações e bônus de subscrição</t>
  </si>
  <si>
    <t>Brasperola</t>
  </si>
  <si>
    <t>Chapeco</t>
  </si>
  <si>
    <t>Lojas Arapuã</t>
  </si>
  <si>
    <t>Lorenz</t>
  </si>
  <si>
    <t>Madef</t>
  </si>
  <si>
    <t>Mesbla</t>
  </si>
  <si>
    <t>Motoradio</t>
  </si>
  <si>
    <t>Cosan Alim/Nova América</t>
  </si>
  <si>
    <t>Paranapanema</t>
  </si>
  <si>
    <t>Petrobrás</t>
  </si>
  <si>
    <t>PIR. Brasília</t>
  </si>
  <si>
    <t>Sam Indústrias</t>
  </si>
  <si>
    <t>Springer</t>
  </si>
  <si>
    <t>Transparana</t>
  </si>
  <si>
    <t>Trevisa</t>
  </si>
  <si>
    <t>U. Sta. Olímpia</t>
  </si>
  <si>
    <t>Vulcabrás</t>
  </si>
  <si>
    <t>--</t>
  </si>
  <si>
    <t>d) Resultado operacional do FPS</t>
  </si>
  <si>
    <t>Receitas com aplicações em TVM</t>
  </si>
  <si>
    <t>Ganhos com atualização pelo valor justo</t>
  </si>
  <si>
    <t>Rendimentos de títulos de renda variável</t>
  </si>
  <si>
    <t>Ganhos com negociação de ativos financeiros</t>
  </si>
  <si>
    <t>Despesas com operações de renda variável</t>
  </si>
  <si>
    <t>Perdas com atualização de títulos de renda variável</t>
  </si>
  <si>
    <t>Resultado com aplicações em TVM</t>
  </si>
  <si>
    <t>Demais receitas</t>
  </si>
  <si>
    <t>Receita sobre recursos a aplicar</t>
  </si>
  <si>
    <t>Resultado líquido do FPS</t>
  </si>
  <si>
    <t>Caixa e equivalentes (4a)</t>
  </si>
  <si>
    <t xml:space="preserve">Ativo financeiro a valor justo com ajuste a resultado (6a) </t>
  </si>
  <si>
    <t>Empréstimos e recebíveis com clientes (7a)</t>
  </si>
  <si>
    <t>Outros ativos (8a)</t>
  </si>
  <si>
    <t>Não circulante</t>
  </si>
  <si>
    <t>7 - Empréstimos e recebíveis</t>
  </si>
  <si>
    <t>a) Composição do saldo</t>
  </si>
  <si>
    <t>Banco do Brasil S.A.</t>
  </si>
  <si>
    <t>Empréstimos para capital de giro</t>
  </si>
  <si>
    <t>Encargos financeiros a apropriar</t>
  </si>
  <si>
    <t>Caixa Econômica Federal</t>
  </si>
  <si>
    <t>Operações contratadas após 31/12/82</t>
  </si>
  <si>
    <t>Encargos financeiros das operações contratadas após 31/12/82</t>
  </si>
  <si>
    <t>Operações contratadas com o FMM</t>
  </si>
  <si>
    <t>Encargos financeiros das operações contratadas com o FMM</t>
  </si>
  <si>
    <t>Provisão para risco de crédito</t>
  </si>
  <si>
    <t>Total empréstimos e recebíveis - Circulante</t>
  </si>
  <si>
    <t>8 - Outros ativos</t>
  </si>
  <si>
    <t>Devolução de comissões</t>
  </si>
  <si>
    <t>Total empréstimos e recebíveis - Não circulante</t>
  </si>
  <si>
    <t>Passivo total</t>
  </si>
  <si>
    <t>Patrimônio líquido</t>
  </si>
  <si>
    <t>Obrigações com agentes financeiros (9a)</t>
  </si>
  <si>
    <t>Outros passivos (10)</t>
  </si>
  <si>
    <t>Capital social (14c)</t>
  </si>
  <si>
    <t>Reservas e retenções (14c)</t>
  </si>
  <si>
    <t>9 - Obrigações com agentes financeiros</t>
  </si>
  <si>
    <t>b) Despesa de comissões com agentes financeiros</t>
  </si>
  <si>
    <t>10 - Obrigações diversas</t>
  </si>
  <si>
    <t>14 - Patrimônio líquido</t>
  </si>
  <si>
    <t>a) Capital social</t>
  </si>
  <si>
    <t>Créditos</t>
  </si>
  <si>
    <t>As contas individuais são anualmente creditadas:</t>
  </si>
  <si>
    <t>pelas reversões dos rendimentos colocados à disposição e não sacados durante o exercícios</t>
  </si>
  <si>
    <t>pela atualização monetária sobre o saldo final do exercício anterior</t>
  </si>
  <si>
    <t>pelos juros de 3% ao ano sobre os saldos corrigidos monetariamente das contas individuais</t>
  </si>
  <si>
    <t>pelo resultado líquido adicional do exercício, se houver, após constituições das reservas (FMM e FPS) e de provisões determinadas pelo Conselho Diretor do Fundo PIS-PASEP</t>
  </si>
  <si>
    <t>Rendimentos</t>
  </si>
  <si>
    <t>Os rendimentos assegurados e facultados aos participantes do Fundo para saque em espécie compreendem</t>
  </si>
  <si>
    <t>juros de 3% ao ano sobre os saldos corrigidos monetariamente das contas individuais</t>
  </si>
  <si>
    <t>resultado líquido adicional</t>
  </si>
  <si>
    <t>Saques</t>
  </si>
  <si>
    <t>As cotas individuais podem, também, ser sacadas na ocorrência de qualquer um dos seguintes eventos</t>
  </si>
  <si>
    <t>Aposentadoria</t>
  </si>
  <si>
    <t>Transferência para reserva remunerada (militar)</t>
  </si>
  <si>
    <t>Reforma (militar)</t>
  </si>
  <si>
    <t>Invalidez</t>
  </si>
  <si>
    <t>Morte</t>
  </si>
  <si>
    <t>Idade igual ou superior a 70 anos</t>
  </si>
  <si>
    <t>Infecção pelo vírus HIV</t>
  </si>
  <si>
    <t>Neoplasia maligna</t>
  </si>
  <si>
    <t>Doenças listadas na Portaria Interministerial MPAS/MS nº 2998/2001, inclusive seus dependentes</t>
  </si>
  <si>
    <t>Atualização monetária sobre cotas</t>
  </si>
  <si>
    <t>Os saldos das contas dos participantes são reajustados em conformidade com o art. 12 da Lei nº 9.365/1996</t>
  </si>
  <si>
    <t>b) Reservas e retenções</t>
  </si>
  <si>
    <t>Reserva para ajuste de cotas</t>
  </si>
  <si>
    <t>Destina-se a atender, durante o exercício, ao ajuste de cotas e ressarcimento de prejuízos causados aos participantes, inclusive de decisões judiciais adversas ao Fundo</t>
  </si>
  <si>
    <t>Retenção para atualização da carteira FPS</t>
  </si>
  <si>
    <t>Constituído após reservas e distribuição do resultado líquido adicional</t>
  </si>
  <si>
    <t>Constituída aplicando-se percentual de 50% sobre o patrimônio do Fundo FPS</t>
  </si>
  <si>
    <t>Objetiva assegurar o Fundo contra riscos ou eventuais ocorrências significativas no mercado em que opera</t>
  </si>
  <si>
    <t>Reserva para equacionar rendas - FMM</t>
  </si>
  <si>
    <t>Constituída aplicando-se percentual de 40% sobre o saldo dos contratos transferidos em curso normal</t>
  </si>
  <si>
    <t>Tem por objetivo a preservação do equilíbrio econômico entre as receitas e despesas do Fundo</t>
  </si>
  <si>
    <t>Em virtude dos saldos das contas dos participantes e da carteira recebida do FMM serem atualizados por índices diferentes</t>
  </si>
  <si>
    <t>Além do risco de inadimplência dos contratos transferidos e da incerteza sobre a realização dos ativos devidos pelo FMM relativo ao reembolso de descontos contratuais (AFRMM)</t>
  </si>
  <si>
    <t>c) Composição do Patrimônio Líquido</t>
  </si>
  <si>
    <t>Capital social</t>
  </si>
  <si>
    <t>Cotistas do PIS</t>
  </si>
  <si>
    <t>Cotistas do PASEP</t>
  </si>
  <si>
    <t>Cotas</t>
  </si>
  <si>
    <t>Juros sobre cotas "PIS"</t>
  </si>
  <si>
    <t>Resultado líquido adicional</t>
  </si>
  <si>
    <t>Atualização monetária das cotas "PIS"</t>
  </si>
  <si>
    <t>Reservas e retenções</t>
  </si>
  <si>
    <t>Reserva para ajuste de cotas "PIS"</t>
  </si>
  <si>
    <t>Juros sobre cotas "PASEP"</t>
  </si>
  <si>
    <t>Atualização monetária das cotas "PASEP"</t>
  </si>
  <si>
    <t>Reserva para ajuste de cotas "PASEP"</t>
  </si>
  <si>
    <t>Reserva para equacionar rendas - FMM "PIS"</t>
  </si>
  <si>
    <t>Reserva para equacionar rendas - FMM "PASEP"</t>
  </si>
  <si>
    <t>Receitas</t>
  </si>
  <si>
    <t>Receitas com juros e similares</t>
  </si>
  <si>
    <t>Rendas de operações de crédito (7b)</t>
  </si>
  <si>
    <t>Rendas de recursos disponíveis (4b)</t>
  </si>
  <si>
    <t>Receita com operações de renda variável</t>
  </si>
  <si>
    <t>Ganhos com atualização de ativos financeiros (6d)</t>
  </si>
  <si>
    <t>Ganhos com negociação de ativos financeiros (6d)</t>
  </si>
  <si>
    <t>Rendimentos de títulos de renda variável (6d)</t>
  </si>
  <si>
    <t>Reversões e recuperações</t>
  </si>
  <si>
    <t>Reversão de provisão para risco de crédito (7d)</t>
  </si>
  <si>
    <t>Recuperação de crédito (11a)</t>
  </si>
  <si>
    <t>Outras receitas operacionais</t>
  </si>
  <si>
    <t>Receitas de multas e penalidades (13)</t>
  </si>
  <si>
    <t>Receitas eventuais (13)</t>
  </si>
  <si>
    <t>b) Rendas de operações de crédito</t>
  </si>
  <si>
    <t>Juros sobre empréstimos/financiamentos BNDES</t>
  </si>
  <si>
    <t>Atualização monetária sobre financiamentos BNDES</t>
  </si>
  <si>
    <t>Juros sobre empréstimo BB</t>
  </si>
  <si>
    <t>Juros sobre empréstimo CEF</t>
  </si>
  <si>
    <t>Atualização monetária sobre empréstimo BB</t>
  </si>
  <si>
    <t>Atualização monetária sobre empréstimo CEF</t>
  </si>
  <si>
    <t>Variação cambial ativa - financiamentos BNDES</t>
  </si>
  <si>
    <t>c) Composição da carteira de financiamentos por risco de crédito</t>
  </si>
  <si>
    <t>PIS-PASEP (FMM)</t>
  </si>
  <si>
    <t>d) Movimentação da provisão para risco de crédito</t>
  </si>
  <si>
    <t>Saldo final</t>
  </si>
  <si>
    <t>Saldo inicial</t>
  </si>
  <si>
    <t>Constituição/reversão de provisão</t>
  </si>
  <si>
    <t>11 - Recuperação de créditos</t>
  </si>
  <si>
    <t>a) Recuperação de créditos</t>
  </si>
  <si>
    <t>Receitas eventuais</t>
  </si>
  <si>
    <t>Receitas de multas e penalidades</t>
  </si>
  <si>
    <t>Despesas de atualização de obrigações diversas</t>
  </si>
  <si>
    <t>Despesas com auditoria independente</t>
  </si>
  <si>
    <t>Despesas</t>
  </si>
  <si>
    <t>Despesas com juros e similares (participantes)</t>
  </si>
  <si>
    <t>Atualização monetária sobre cotas (12a)</t>
  </si>
  <si>
    <t>Juros sobre cotas corrigidas (12b)</t>
  </si>
  <si>
    <t>Despesa com operações de renda variável</t>
  </si>
  <si>
    <t>Perdas com atualização de títulos de renda variável (6d)</t>
  </si>
  <si>
    <t>Provisões e ajustes patrimoniais</t>
  </si>
  <si>
    <t>Outras despesas</t>
  </si>
  <si>
    <t>Despesas de comissão com agentes (9b)</t>
  </si>
  <si>
    <t>Despesas com auditoria independente (13)</t>
  </si>
  <si>
    <t>Despesas de atualização de obrigações diversas (13)</t>
  </si>
  <si>
    <t>Despesas eventuais (13)</t>
  </si>
  <si>
    <t>12 - Despesas com juros e similares</t>
  </si>
  <si>
    <t>b) Juros sobre cotas corrigidas</t>
  </si>
  <si>
    <t>PIS</t>
  </si>
  <si>
    <t>PASEP</t>
  </si>
  <si>
    <t>a) Atualização monetária sobre cotas</t>
  </si>
  <si>
    <t>e) Provisão para risco de crédito</t>
  </si>
  <si>
    <t>Empréstimos para capital de giro (após 31.12.82) - financiamentos</t>
  </si>
  <si>
    <t>Empréstimos para capital de giro (após 31.12.82) - encargos a apropriar</t>
  </si>
  <si>
    <t>Operações contratadas após 31.12.82 - financiamentos</t>
  </si>
  <si>
    <t>Operações contratadas após 31.12.82 - encargos a apropriar</t>
  </si>
  <si>
    <t>Operações contratadas com o FMM - financiamentos</t>
  </si>
  <si>
    <t>Operações contratadas com o FMM - encargos a apropriar</t>
  </si>
  <si>
    <t>Operações contratadas com o FMM - Valor da provisão</t>
  </si>
  <si>
    <t>f) Provisão para risco de crédito operações risco Fundo PIS-PASEP</t>
  </si>
  <si>
    <t>Clientes com atraso até 180 dias - Saldo das operações</t>
  </si>
  <si>
    <t>Clientes com atraso acima de 180 dias - Saldo das operações</t>
  </si>
  <si>
    <t>Variação da provisão</t>
  </si>
  <si>
    <t>Clientes com atraso acima de 180 dias - Provisão (100%)</t>
  </si>
  <si>
    <t>Clientes com atraso até 180 dias - Provisão (0,5%)</t>
  </si>
  <si>
    <t>g) Detalhamento dos contratos de financiamento FMM - Risco fundo PIS-PASEP</t>
  </si>
  <si>
    <t>h) Perdas com operações de crédito</t>
  </si>
  <si>
    <t>Resultado líquido do exercício</t>
  </si>
  <si>
    <t>Fluxos de caixa proveniente das operações</t>
  </si>
  <si>
    <t>Juros recebidos</t>
  </si>
  <si>
    <t>Liberação de empréstimos/financiamentos</t>
  </si>
  <si>
    <t>Pagamento comissões - Banco do Brasil S.A.</t>
  </si>
  <si>
    <t>Pagamento comissões - Caixa Econômica Federal</t>
  </si>
  <si>
    <t>Pagamento comissões - BNDES</t>
  </si>
  <si>
    <t>Recuperação de créditos</t>
  </si>
  <si>
    <t>Operações com ações</t>
  </si>
  <si>
    <t>Recebimento de dividendos</t>
  </si>
  <si>
    <t>Outros</t>
  </si>
  <si>
    <t>Recebimentos de empréstimos/financiamentos</t>
  </si>
  <si>
    <t>Fluxo de caixa das atividades de financiamento</t>
  </si>
  <si>
    <t>Ressarcimento a participantes</t>
  </si>
  <si>
    <t>Saques de contas individuais de participantes</t>
  </si>
  <si>
    <t>Rendimentos pagos aos participantes</t>
  </si>
  <si>
    <t>Variação líquida de caixa e equivalentes</t>
  </si>
  <si>
    <t>Conciliação entre lucro líquido e fluxo de caixa das atividades operacionais</t>
  </si>
  <si>
    <t>Caixa líquido das atividades operacionais</t>
  </si>
  <si>
    <t>Saldos em 30.06.2015</t>
  </si>
  <si>
    <t>Capitalização nas contas de participantes</t>
  </si>
  <si>
    <t>Resgate de cotas pelos participantes</t>
  </si>
  <si>
    <t>Pagamentos de rendimentos</t>
  </si>
  <si>
    <t>Complemento de valorização</t>
  </si>
  <si>
    <t>Atualização monetária de cotas</t>
  </si>
  <si>
    <t>Distribuição de reservas para ajustes de cotas</t>
  </si>
  <si>
    <t>Ajustes em contas de participantes</t>
  </si>
  <si>
    <t>Ressarcimento de participantes</t>
  </si>
  <si>
    <t>Destinação do resultado</t>
  </si>
  <si>
    <t>Mutações do exercício</t>
  </si>
  <si>
    <t>Saldos em 30.06.2016</t>
  </si>
  <si>
    <t>COTISTAS</t>
  </si>
  <si>
    <t>Atualização monetária das cotas</t>
  </si>
  <si>
    <t>Juros sobre cotas</t>
  </si>
  <si>
    <t>RESERVAS E RETENÇÕES</t>
  </si>
  <si>
    <t>Retenção das atualizações da carteira do FPS</t>
  </si>
  <si>
    <t>Reservas para equacionar rendas - FMM</t>
  </si>
  <si>
    <t>EVENTOS</t>
  </si>
  <si>
    <t>Juros sobre cotas atualizadas</t>
  </si>
  <si>
    <t>Saldos em 30.06.2017</t>
  </si>
  <si>
    <t>Redução (aumento) de valores mantidos junto a agentes financeiros (5)</t>
  </si>
  <si>
    <t>Redução (aumento) de ativo financeiro a valor justo (6a)</t>
  </si>
  <si>
    <t>Aumento de empréstimos e recebíveis (7a)</t>
  </si>
  <si>
    <t>Redução (aumento) de outros ativos (8)</t>
  </si>
  <si>
    <t>Aumento (redução) de obrigações com agentes financeiros (9a)</t>
  </si>
  <si>
    <t>Juros sobre cotas corrigidas (12)</t>
  </si>
  <si>
    <t>13 - Outras receitas/despesas operacionais</t>
  </si>
  <si>
    <t>b) Movimentação da provisão para perdas do valor recuperável</t>
  </si>
  <si>
    <t>Baixa para perda</t>
  </si>
  <si>
    <t>No exercício 2016/17, o ajuste foi de 1,297%;</t>
  </si>
  <si>
    <t>No exercício 2015/16, de 1,061%</t>
  </si>
  <si>
    <t>No exercício 2014/2015, não ocorreram reajustes</t>
  </si>
  <si>
    <t>Retenção das atualizações da carteira FPS "PIS"</t>
  </si>
  <si>
    <t>Retenção das atualizações da carteira FPS "PASEP"</t>
  </si>
  <si>
    <t>Recomposição de valores</t>
  </si>
  <si>
    <t>Ressarcimento a participantes (início do período)</t>
  </si>
  <si>
    <t>Saques de contas individuais de participantes (fim do período)</t>
  </si>
  <si>
    <t>Saldos em 30.06.2014</t>
  </si>
  <si>
    <t>Ajuste participação de cotas</t>
  </si>
  <si>
    <t>Copel</t>
  </si>
  <si>
    <t>Eletrobrás</t>
  </si>
  <si>
    <t>Banco Nacional</t>
  </si>
  <si>
    <t>Valores a receber</t>
  </si>
  <si>
    <t>Valores a receber - AFRMM</t>
  </si>
  <si>
    <t>Provisão para perda do valor recuperável</t>
  </si>
  <si>
    <t>Recebimento de juros sobre o capital</t>
  </si>
  <si>
    <t>Saldos em 30.06.2013</t>
  </si>
  <si>
    <t>Cemig</t>
  </si>
  <si>
    <t>Gerdau</t>
  </si>
  <si>
    <t>Itausa</t>
  </si>
  <si>
    <t>Itautec</t>
  </si>
  <si>
    <t>Metalúrgica Gerdau</t>
  </si>
  <si>
    <t>Oi</t>
  </si>
  <si>
    <t>Tupy</t>
  </si>
  <si>
    <t>Ultrapar</t>
  </si>
  <si>
    <t>Usiminas</t>
  </si>
  <si>
    <t>Vale do Rio Doce</t>
  </si>
  <si>
    <t>Perdas com operações de crédito (7h/8b)</t>
  </si>
  <si>
    <t>Recebimento de ações bonificadas</t>
  </si>
  <si>
    <t>Ações bonificadas</t>
  </si>
  <si>
    <t>Total</t>
  </si>
  <si>
    <t>Saldos em 30.06.2012</t>
  </si>
  <si>
    <t>Fosfertil</t>
  </si>
  <si>
    <t>Frações de ações</t>
  </si>
  <si>
    <t>Reserva para Equacionar Rendas - FMM</t>
  </si>
  <si>
    <t>Retenção das Atualizações da carteira FPS</t>
  </si>
  <si>
    <t>Saldos em 30.06.2011</t>
  </si>
  <si>
    <t>Remuneração de valores mantidos junto ao BNDES</t>
  </si>
  <si>
    <t>Remuneração de valores disponíveis Caixa</t>
  </si>
  <si>
    <t>Remuneração de valores disponíveis BB</t>
  </si>
  <si>
    <t>Remuneração de valores disponíveis BNDES</t>
  </si>
  <si>
    <t>Brasil Telecom Participações</t>
  </si>
  <si>
    <t>BRF FOODS</t>
  </si>
  <si>
    <t>Inepar</t>
  </si>
  <si>
    <t>Energia</t>
  </si>
  <si>
    <t>Recuperação de crédito (outras receitas)</t>
  </si>
  <si>
    <t>Despesas eventuais (outras despesas)</t>
  </si>
  <si>
    <t>Juros sobre aplicação financeira</t>
  </si>
  <si>
    <t>Atualização de títulos de renda variável</t>
  </si>
  <si>
    <t>Liquidação de NTN</t>
  </si>
  <si>
    <t>Recuperação de IR</t>
  </si>
  <si>
    <t>Saldos em 30.06.2010</t>
  </si>
  <si>
    <t>ND</t>
  </si>
  <si>
    <t>Títulos públicos</t>
  </si>
  <si>
    <t>Oi/Telemar</t>
  </si>
  <si>
    <t>TOTAL (sem Provisão - FMM)</t>
  </si>
  <si>
    <t>Total PIS</t>
  </si>
  <si>
    <t>Total PASEP</t>
  </si>
  <si>
    <t>Encargos financeiros</t>
  </si>
  <si>
    <t>Notas do Tesouro Nacional - NTN</t>
  </si>
  <si>
    <t>Imposto de renda a recuperar</t>
  </si>
  <si>
    <t>Em R$ mil</t>
  </si>
  <si>
    <t>Recuperação de Créditos - BNDES</t>
  </si>
  <si>
    <t>Quantidade</t>
  </si>
  <si>
    <t>2016/2017</t>
  </si>
  <si>
    <t>2015/2016</t>
  </si>
  <si>
    <t>2014/2015</t>
  </si>
  <si>
    <t>2013/2014</t>
  </si>
  <si>
    <t>2012/2013</t>
  </si>
  <si>
    <t>2011/2012</t>
  </si>
  <si>
    <t>2010/2011</t>
  </si>
  <si>
    <t>2009/2010</t>
  </si>
  <si>
    <t>2008/2009</t>
  </si>
  <si>
    <t>2007/2008</t>
  </si>
  <si>
    <t>Contas Ativas</t>
  </si>
  <si>
    <t>Contas com Saldo</t>
  </si>
  <si>
    <t>Contas Inativas</t>
  </si>
  <si>
    <t>Total de Contas</t>
  </si>
  <si>
    <t>Valor das Contas com Saldo</t>
  </si>
  <si>
    <t>Principal</t>
  </si>
  <si>
    <t>Valor (em R$ mil)</t>
  </si>
  <si>
    <t>TOTAL (em R$ mil)</t>
  </si>
  <si>
    <t>PIS/PASEP</t>
  </si>
  <si>
    <t>Saldo Médio das Contas</t>
  </si>
  <si>
    <t>PROGRAMAS E SUBPROGRAMAS</t>
  </si>
  <si>
    <t>PIS-PASEP (Em R$ mil)</t>
  </si>
  <si>
    <t>2015/16</t>
  </si>
  <si>
    <t>2016/17</t>
  </si>
  <si>
    <t>-</t>
  </si>
  <si>
    <t>2013/14</t>
  </si>
  <si>
    <t>2014/15</t>
  </si>
  <si>
    <t>2010/11</t>
  </si>
  <si>
    <t>2011/12</t>
  </si>
  <si>
    <t>2012/13</t>
  </si>
  <si>
    <t>Contas</t>
  </si>
  <si>
    <t>2006/07</t>
  </si>
  <si>
    <t>2007/08</t>
  </si>
  <si>
    <t>2008/09</t>
  </si>
  <si>
    <t>2009/10</t>
  </si>
  <si>
    <t>2005/06</t>
  </si>
  <si>
    <t>2004/05</t>
  </si>
  <si>
    <t>2002/03</t>
  </si>
  <si>
    <t>2003/04</t>
  </si>
  <si>
    <t>2001/02</t>
  </si>
  <si>
    <t>2000/01</t>
  </si>
  <si>
    <t>Saldo das Aplicações do PIS/PASEP em Programas de de Investimento no BNDES</t>
  </si>
  <si>
    <t>Outros Ativos (8)</t>
  </si>
  <si>
    <t>Bens de Capital</t>
  </si>
  <si>
    <t>Equipamentos Básicos</t>
  </si>
  <si>
    <t>Infra-Estrutura</t>
  </si>
  <si>
    <t>Mobilidade Urbana</t>
  </si>
  <si>
    <t>Proj. Estruturadores Transp. Urbano</t>
  </si>
  <si>
    <t>Naval</t>
  </si>
  <si>
    <t>Rodovia</t>
  </si>
  <si>
    <t>Ferrovia</t>
  </si>
  <si>
    <t xml:space="preserve">Outros </t>
  </si>
  <si>
    <t>Capital De Giro</t>
  </si>
  <si>
    <t>Finame (Máquinas E Equipamentos)</t>
  </si>
  <si>
    <t>Transporte</t>
  </si>
  <si>
    <t>Serviços</t>
  </si>
  <si>
    <t>Indústria</t>
  </si>
  <si>
    <t>Indústria Extrativa</t>
  </si>
  <si>
    <t>Indústria De Transformação</t>
  </si>
  <si>
    <t>Comércio</t>
  </si>
  <si>
    <t>Agropecuária E Pesca</t>
  </si>
  <si>
    <t>Construção</t>
  </si>
  <si>
    <t>Outros Setores</t>
  </si>
  <si>
    <t>Mercado Financeiro</t>
  </si>
  <si>
    <t xml:space="preserve">Operações No Mercado De Capital </t>
  </si>
  <si>
    <t>Fps</t>
  </si>
  <si>
    <t>Bndespar</t>
  </si>
  <si>
    <t>Notas Do Terouro Nacional</t>
  </si>
  <si>
    <t>Imposto De Renda A Recuperar</t>
  </si>
  <si>
    <t>Encargos Financeiros A Recuperar</t>
  </si>
  <si>
    <t>Alimento E Bebida</t>
  </si>
  <si>
    <t>Insumos Básicos</t>
  </si>
  <si>
    <t>Celulose E Papel</t>
  </si>
  <si>
    <t>Siderurgia</t>
  </si>
  <si>
    <t>Qúimica E Petroquímica</t>
  </si>
  <si>
    <t>Metalurgia De Não-Ferrosos</t>
  </si>
  <si>
    <t>Outros Programas</t>
  </si>
  <si>
    <t>Carteira de Títulos e Valores Mobiliários</t>
  </si>
  <si>
    <t>Saldos em 30.06.2009</t>
  </si>
  <si>
    <t>Saldos em 30.06.2018</t>
  </si>
  <si>
    <t>Ajuste em Participação de Cota</t>
  </si>
  <si>
    <t>2017/2018</t>
  </si>
  <si>
    <t>2017/18</t>
  </si>
  <si>
    <t>Valor das Contas com Saldo  (em R$ 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</si>
</sst>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"/>
    <numFmt numFmtId="166" formatCode="#,##0_ ;[Red]\-#,##0\ "/>
    <numFmt numFmtId="168" formatCode="#,##0.000000_ ;[Red]\-#,##0.000000\ "/>
    <numFmt numFmtId="169" formatCode="#,##0_ ;\-#,##0\ "/>
    <numFmt numFmtId="170" formatCode="_-* #,##0_-;\-* #,##0_-;_-* &quot;-&quot;??_-;_-@_-"/>
    <numFmt numFmtId="171" formatCode="_-&quot;R$&quot;\ * #,##0_-;\-&quot;R$&quot;\ * #,##0_-;_-&quot;R$&quot;\ * &quot;-&quot;??_-;_-@_-"/>
    <numFmt numFmtId="172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0" borderId="0" xfId="0"/>
    <xf numFmtId="3" fontId="2" fillId="2" borderId="3" xfId="0" applyNumberFormat="1" applyFont="1" applyFill="1" applyBorder="1"/>
    <xf numFmtId="3" fontId="0" fillId="0" borderId="0" xfId="0" applyNumberFormat="1"/>
    <xf numFmtId="10" fontId="0" fillId="0" borderId="0" xfId="1" applyNumberFormat="1" applyFont="1"/>
    <xf numFmtId="3" fontId="0" fillId="0" borderId="2" xfId="0" applyNumberFormat="1" applyBorder="1"/>
    <xf numFmtId="3" fontId="2" fillId="2" borderId="2" xfId="0" applyNumberFormat="1" applyFont="1" applyFill="1" applyBorder="1"/>
    <xf numFmtId="17" fontId="0" fillId="0" borderId="2" xfId="0" applyNumberFormat="1" applyBorder="1"/>
    <xf numFmtId="165" fontId="0" fillId="0" borderId="2" xfId="0" applyNumberFormat="1" applyBorder="1"/>
    <xf numFmtId="17" fontId="0" fillId="0" borderId="4" xfId="0" applyNumberFormat="1" applyBorder="1"/>
    <xf numFmtId="3" fontId="0" fillId="0" borderId="3" xfId="0" applyNumberFormat="1" applyBorder="1"/>
    <xf numFmtId="3" fontId="0" fillId="0" borderId="2" xfId="0" quotePrefix="1" applyNumberFormat="1" applyBorder="1"/>
    <xf numFmtId="3" fontId="0" fillId="0" borderId="5" xfId="0" applyNumberFormat="1" applyFill="1" applyBorder="1"/>
    <xf numFmtId="0" fontId="0" fillId="0" borderId="0" xfId="0" applyFont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  <xf numFmtId="0" fontId="4" fillId="2" borderId="3" xfId="0" applyFont="1" applyFill="1" applyBorder="1"/>
    <xf numFmtId="0" fontId="3" fillId="0" borderId="1" xfId="0" applyFont="1" applyBorder="1"/>
    <xf numFmtId="0" fontId="3" fillId="2" borderId="2" xfId="0" applyFont="1" applyFill="1" applyBorder="1"/>
    <xf numFmtId="0" fontId="3" fillId="0" borderId="3" xfId="0" applyFont="1" applyBorder="1"/>
    <xf numFmtId="3" fontId="0" fillId="2" borderId="2" xfId="0" applyNumberFormat="1" applyFont="1" applyFill="1" applyBorder="1"/>
    <xf numFmtId="0" fontId="3" fillId="2" borderId="3" xfId="0" applyFont="1" applyFill="1" applyBorder="1"/>
    <xf numFmtId="3" fontId="0" fillId="2" borderId="3" xfId="0" applyNumberFormat="1" applyFont="1" applyFill="1" applyBorder="1"/>
    <xf numFmtId="3" fontId="0" fillId="0" borderId="3" xfId="0" quotePrefix="1" applyNumberFormat="1" applyBorder="1"/>
    <xf numFmtId="166" fontId="0" fillId="2" borderId="2" xfId="0" applyNumberFormat="1" applyFont="1" applyFill="1" applyBorder="1"/>
    <xf numFmtId="166" fontId="0" fillId="0" borderId="2" xfId="0" applyNumberFormat="1" applyBorder="1"/>
    <xf numFmtId="166" fontId="0" fillId="2" borderId="3" xfId="0" applyNumberFormat="1" applyFont="1" applyFill="1" applyBorder="1"/>
    <xf numFmtId="166" fontId="0" fillId="0" borderId="3" xfId="0" applyNumberFormat="1" applyBorder="1"/>
    <xf numFmtId="166" fontId="0" fillId="0" borderId="0" xfId="0" applyNumberFormat="1"/>
    <xf numFmtId="166" fontId="0" fillId="0" borderId="3" xfId="0" quotePrefix="1" applyNumberFormat="1" applyBorder="1"/>
    <xf numFmtId="166" fontId="2" fillId="2" borderId="2" xfId="0" applyNumberFormat="1" applyFont="1" applyFill="1" applyBorder="1"/>
    <xf numFmtId="166" fontId="0" fillId="0" borderId="2" xfId="0" quotePrefix="1" applyNumberFormat="1" applyBorder="1"/>
    <xf numFmtId="165" fontId="2" fillId="2" borderId="3" xfId="0" applyNumberFormat="1" applyFont="1" applyFill="1" applyBorder="1"/>
    <xf numFmtId="165" fontId="2" fillId="2" borderId="2" xfId="0" applyNumberFormat="1" applyFont="1" applyFill="1" applyBorder="1"/>
    <xf numFmtId="0" fontId="2" fillId="0" borderId="0" xfId="0" applyFont="1"/>
    <xf numFmtId="165" fontId="0" fillId="2" borderId="3" xfId="0" applyNumberFormat="1" applyFont="1" applyFill="1" applyBorder="1"/>
    <xf numFmtId="165" fontId="0" fillId="0" borderId="2" xfId="0" quotePrefix="1" applyNumberFormat="1" applyBorder="1"/>
    <xf numFmtId="2" fontId="0" fillId="0" borderId="0" xfId="0" applyNumberFormat="1" applyAlignment="1"/>
    <xf numFmtId="2" fontId="0" fillId="0" borderId="0" xfId="1" applyNumberFormat="1" applyFont="1"/>
    <xf numFmtId="2" fontId="0" fillId="0" borderId="0" xfId="0" applyNumberFormat="1"/>
    <xf numFmtId="2" fontId="0" fillId="0" borderId="0" xfId="0" applyNumberFormat="1" applyFont="1"/>
    <xf numFmtId="165" fontId="0" fillId="2" borderId="2" xfId="0" applyNumberFormat="1" applyFont="1" applyFill="1" applyBorder="1"/>
    <xf numFmtId="165" fontId="0" fillId="0" borderId="0" xfId="0" applyNumberFormat="1"/>
    <xf numFmtId="169" fontId="0" fillId="2" borderId="2" xfId="0" applyNumberFormat="1" applyFont="1" applyFill="1" applyBorder="1"/>
    <xf numFmtId="169" fontId="0" fillId="0" borderId="2" xfId="0" applyNumberFormat="1" applyBorder="1"/>
    <xf numFmtId="169" fontId="0" fillId="0" borderId="2" xfId="0" quotePrefix="1" applyNumberFormat="1" applyBorder="1"/>
    <xf numFmtId="169" fontId="2" fillId="2" borderId="2" xfId="0" applyNumberFormat="1" applyFont="1" applyFill="1" applyBorder="1"/>
    <xf numFmtId="169" fontId="0" fillId="2" borderId="2" xfId="0" quotePrefix="1" applyNumberFormat="1" applyFont="1" applyFill="1" applyBorder="1"/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0" fillId="0" borderId="0" xfId="0" quotePrefix="1"/>
    <xf numFmtId="0" fontId="0" fillId="0" borderId="2" xfId="0" applyFont="1" applyBorder="1"/>
    <xf numFmtId="165" fontId="0" fillId="0" borderId="2" xfId="0" applyNumberFormat="1" applyFont="1" applyBorder="1"/>
    <xf numFmtId="165" fontId="0" fillId="0" borderId="2" xfId="0" quotePrefix="1" applyNumberFormat="1" applyFont="1" applyBorder="1"/>
    <xf numFmtId="165" fontId="2" fillId="2" borderId="14" xfId="0" applyNumberFormat="1" applyFont="1" applyFill="1" applyBorder="1"/>
    <xf numFmtId="165" fontId="0" fillId="2" borderId="8" xfId="0" applyNumberFormat="1" applyFont="1" applyFill="1" applyBorder="1"/>
    <xf numFmtId="165" fontId="0" fillId="0" borderId="8" xfId="0" applyNumberFormat="1" applyFont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7" fontId="0" fillId="0" borderId="6" xfId="0" applyNumberFormat="1" applyFont="1" applyBorder="1"/>
    <xf numFmtId="17" fontId="0" fillId="0" borderId="19" xfId="0" applyNumberFormat="1" applyFont="1" applyBorder="1"/>
    <xf numFmtId="0" fontId="2" fillId="0" borderId="0" xfId="0" applyFont="1" applyFill="1"/>
    <xf numFmtId="0" fontId="0" fillId="0" borderId="0" xfId="0" applyFont="1" applyFill="1"/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0" fillId="0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0" fontId="0" fillId="0" borderId="2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9" fontId="0" fillId="2" borderId="8" xfId="0" applyNumberFormat="1" applyFont="1" applyFill="1" applyBorder="1"/>
    <xf numFmtId="169" fontId="2" fillId="2" borderId="10" xfId="0" applyNumberFormat="1" applyFont="1" applyFill="1" applyBorder="1"/>
    <xf numFmtId="169" fontId="2" fillId="2" borderId="11" xfId="0" applyNumberFormat="1" applyFont="1" applyFill="1" applyBorder="1"/>
    <xf numFmtId="169" fontId="0" fillId="2" borderId="3" xfId="0" applyNumberFormat="1" applyFont="1" applyFill="1" applyBorder="1"/>
    <xf numFmtId="169" fontId="0" fillId="2" borderId="14" xfId="0" applyNumberFormat="1" applyFont="1" applyFill="1" applyBorder="1"/>
    <xf numFmtId="0" fontId="2" fillId="2" borderId="23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2" fillId="2" borderId="24" xfId="0" applyFont="1" applyFill="1" applyBorder="1"/>
    <xf numFmtId="0" fontId="0" fillId="0" borderId="25" xfId="0" applyFont="1" applyBorder="1"/>
    <xf numFmtId="0" fontId="0" fillId="0" borderId="26" xfId="0" applyFont="1" applyBorder="1"/>
    <xf numFmtId="17" fontId="0" fillId="0" borderId="27" xfId="0" applyNumberFormat="1" applyFont="1" applyBorder="1"/>
    <xf numFmtId="165" fontId="0" fillId="0" borderId="7" xfId="0" applyNumberFormat="1" applyFont="1" applyBorder="1"/>
    <xf numFmtId="0" fontId="0" fillId="2" borderId="23" xfId="0" applyFont="1" applyFill="1" applyBorder="1"/>
    <xf numFmtId="0" fontId="2" fillId="2" borderId="29" xfId="0" applyFont="1" applyFill="1" applyBorder="1"/>
    <xf numFmtId="170" fontId="0" fillId="0" borderId="2" xfId="2" applyNumberFormat="1" applyFont="1" applyFill="1" applyBorder="1"/>
    <xf numFmtId="164" fontId="2" fillId="2" borderId="2" xfId="0" applyNumberFormat="1" applyFont="1" applyFill="1" applyBorder="1"/>
    <xf numFmtId="0" fontId="2" fillId="2" borderId="25" xfId="0" applyFont="1" applyFill="1" applyBorder="1"/>
    <xf numFmtId="165" fontId="2" fillId="2" borderId="28" xfId="0" applyNumberFormat="1" applyFont="1" applyFill="1" applyBorder="1"/>
    <xf numFmtId="165" fontId="0" fillId="2" borderId="7" xfId="0" applyNumberFormat="1" applyFont="1" applyFill="1" applyBorder="1"/>
    <xf numFmtId="165" fontId="2" fillId="2" borderId="7" xfId="0" applyNumberFormat="1" applyFont="1" applyFill="1" applyBorder="1"/>
    <xf numFmtId="165" fontId="2" fillId="2" borderId="8" xfId="0" applyNumberFormat="1" applyFont="1" applyFill="1" applyBorder="1"/>
    <xf numFmtId="165" fontId="2" fillId="2" borderId="9" xfId="0" applyNumberFormat="1" applyFont="1" applyFill="1" applyBorder="1"/>
    <xf numFmtId="0" fontId="2" fillId="2" borderId="2" xfId="0" applyFont="1" applyFill="1" applyBorder="1"/>
    <xf numFmtId="169" fontId="0" fillId="2" borderId="28" xfId="0" applyNumberFormat="1" applyFont="1" applyFill="1" applyBorder="1"/>
    <xf numFmtId="169" fontId="0" fillId="2" borderId="7" xfId="0" applyNumberFormat="1" applyFont="1" applyFill="1" applyBorder="1"/>
    <xf numFmtId="169" fontId="0" fillId="2" borderId="7" xfId="0" quotePrefix="1" applyNumberFormat="1" applyFont="1" applyFill="1" applyBorder="1"/>
    <xf numFmtId="169" fontId="2" fillId="2" borderId="9" xfId="0" applyNumberFormat="1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2" fontId="2" fillId="2" borderId="28" xfId="2" applyNumberFormat="1" applyFont="1" applyFill="1" applyBorder="1"/>
    <xf numFmtId="172" fontId="2" fillId="2" borderId="3" xfId="2" applyNumberFormat="1" applyFont="1" applyFill="1" applyBorder="1"/>
    <xf numFmtId="172" fontId="2" fillId="2" borderId="14" xfId="2" applyNumberFormat="1" applyFont="1" applyFill="1" applyBorder="1"/>
    <xf numFmtId="172" fontId="0" fillId="2" borderId="7" xfId="2" applyNumberFormat="1" applyFont="1" applyFill="1" applyBorder="1"/>
    <xf numFmtId="172" fontId="0" fillId="2" borderId="2" xfId="2" applyNumberFormat="1" applyFont="1" applyFill="1" applyBorder="1"/>
    <xf numFmtId="172" fontId="0" fillId="2" borderId="8" xfId="2" applyNumberFormat="1" applyFont="1" applyFill="1" applyBorder="1"/>
    <xf numFmtId="172" fontId="0" fillId="0" borderId="7" xfId="2" applyNumberFormat="1" applyFont="1" applyBorder="1"/>
    <xf numFmtId="172" fontId="0" fillId="0" borderId="2" xfId="2" applyNumberFormat="1" applyFont="1" applyBorder="1"/>
    <xf numFmtId="172" fontId="0" fillId="0" borderId="8" xfId="2" applyNumberFormat="1" applyFont="1" applyBorder="1"/>
    <xf numFmtId="172" fontId="0" fillId="0" borderId="7" xfId="2" quotePrefix="1" applyNumberFormat="1" applyFont="1" applyBorder="1"/>
    <xf numFmtId="172" fontId="0" fillId="0" borderId="2" xfId="2" quotePrefix="1" applyNumberFormat="1" applyFont="1" applyBorder="1"/>
    <xf numFmtId="172" fontId="0" fillId="0" borderId="8" xfId="2" quotePrefix="1" applyNumberFormat="1" applyFont="1" applyBorder="1"/>
    <xf numFmtId="172" fontId="2" fillId="2" borderId="7" xfId="2" applyNumberFormat="1" applyFont="1" applyFill="1" applyBorder="1"/>
    <xf numFmtId="172" fontId="2" fillId="2" borderId="2" xfId="2" applyNumberFormat="1" applyFont="1" applyFill="1" applyBorder="1"/>
    <xf numFmtId="172" fontId="2" fillId="2" borderId="8" xfId="2" applyNumberFormat="1" applyFont="1" applyFill="1" applyBorder="1"/>
    <xf numFmtId="172" fontId="0" fillId="0" borderId="9" xfId="2" applyNumberFormat="1" applyFont="1" applyBorder="1"/>
    <xf numFmtId="172" fontId="0" fillId="0" borderId="10" xfId="2" applyNumberFormat="1" applyFont="1" applyBorder="1"/>
    <xf numFmtId="172" fontId="0" fillId="0" borderId="11" xfId="2" applyNumberFormat="1" applyFont="1" applyBorder="1"/>
    <xf numFmtId="172" fontId="0" fillId="2" borderId="28" xfId="3" applyNumberFormat="1" applyFont="1" applyFill="1" applyBorder="1"/>
    <xf numFmtId="172" fontId="0" fillId="2" borderId="3" xfId="3" applyNumberFormat="1" applyFont="1" applyFill="1" applyBorder="1"/>
    <xf numFmtId="172" fontId="0" fillId="2" borderId="14" xfId="3" applyNumberFormat="1" applyFont="1" applyFill="1" applyBorder="1"/>
    <xf numFmtId="172" fontId="0" fillId="0" borderId="7" xfId="3" applyNumberFormat="1" applyFont="1" applyBorder="1"/>
    <xf numFmtId="172" fontId="0" fillId="0" borderId="2" xfId="3" applyNumberFormat="1" applyFont="1" applyBorder="1"/>
    <xf numFmtId="172" fontId="0" fillId="0" borderId="8" xfId="3" applyNumberFormat="1" applyFont="1" applyBorder="1"/>
    <xf numFmtId="172" fontId="0" fillId="2" borderId="7" xfId="3" applyNumberFormat="1" applyFont="1" applyFill="1" applyBorder="1"/>
    <xf numFmtId="172" fontId="0" fillId="2" borderId="2" xfId="3" applyNumberFormat="1" applyFont="1" applyFill="1" applyBorder="1"/>
    <xf numFmtId="172" fontId="0" fillId="2" borderId="8" xfId="3" applyNumberFormat="1" applyFont="1" applyFill="1" applyBorder="1"/>
    <xf numFmtId="172" fontId="0" fillId="0" borderId="7" xfId="3" quotePrefix="1" applyNumberFormat="1" applyFont="1" applyBorder="1"/>
    <xf numFmtId="172" fontId="0" fillId="0" borderId="2" xfId="3" quotePrefix="1" applyNumberFormat="1" applyFont="1" applyBorder="1"/>
    <xf numFmtId="172" fontId="0" fillId="0" borderId="8" xfId="3" quotePrefix="1" applyNumberFormat="1" applyFont="1" applyBorder="1"/>
    <xf numFmtId="172" fontId="2" fillId="2" borderId="9" xfId="3" applyNumberFormat="1" applyFont="1" applyFill="1" applyBorder="1"/>
    <xf numFmtId="172" fontId="2" fillId="2" borderId="10" xfId="3" applyNumberFormat="1" applyFont="1" applyFill="1" applyBorder="1"/>
    <xf numFmtId="172" fontId="2" fillId="2" borderId="11" xfId="3" applyNumberFormat="1" applyFont="1" applyFill="1" applyBorder="1"/>
    <xf numFmtId="0" fontId="0" fillId="0" borderId="31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172" fontId="0" fillId="0" borderId="14" xfId="3" applyNumberFormat="1" applyFont="1" applyFill="1" applyBorder="1" applyAlignment="1">
      <alignment horizontal="center"/>
    </xf>
    <xf numFmtId="172" fontId="0" fillId="0" borderId="3" xfId="3" applyNumberFormat="1" applyFont="1" applyFill="1" applyBorder="1" applyAlignment="1">
      <alignment horizontal="center"/>
    </xf>
    <xf numFmtId="172" fontId="0" fillId="0" borderId="20" xfId="3" applyNumberFormat="1" applyFont="1" applyFill="1" applyBorder="1" applyAlignment="1">
      <alignment horizontal="center" vertical="center" wrapText="1"/>
    </xf>
    <xf numFmtId="172" fontId="2" fillId="0" borderId="13" xfId="3" applyNumberFormat="1" applyFont="1" applyFill="1" applyBorder="1" applyAlignment="1">
      <alignment horizontal="center" vertical="center" wrapText="1"/>
    </xf>
    <xf numFmtId="172" fontId="2" fillId="0" borderId="33" xfId="3" applyNumberFormat="1" applyFont="1" applyFill="1" applyBorder="1" applyAlignment="1">
      <alignment horizontal="center" vertical="center" wrapText="1"/>
    </xf>
    <xf numFmtId="172" fontId="0" fillId="0" borderId="2" xfId="3" applyNumberFormat="1" applyFont="1" applyBorder="1" applyAlignment="1">
      <alignment horizontal="right" vertical="center" wrapText="1"/>
    </xf>
    <xf numFmtId="172" fontId="0" fillId="0" borderId="2" xfId="3" applyNumberFormat="1" applyFont="1" applyFill="1" applyBorder="1" applyAlignment="1">
      <alignment horizontal="center" vertical="center" wrapText="1"/>
    </xf>
    <xf numFmtId="172" fontId="0" fillId="0" borderId="13" xfId="3" applyNumberFormat="1" applyFont="1" applyFill="1" applyBorder="1" applyAlignment="1">
      <alignment horizontal="center" vertical="center" wrapText="1"/>
    </xf>
    <xf numFmtId="172" fontId="0" fillId="0" borderId="33" xfId="3" applyNumberFormat="1" applyFont="1" applyFill="1" applyBorder="1" applyAlignment="1">
      <alignment horizontal="center" vertical="center" wrapText="1"/>
    </xf>
    <xf numFmtId="172" fontId="0" fillId="0" borderId="8" xfId="3" applyNumberFormat="1" applyFont="1" applyFill="1" applyBorder="1" applyAlignment="1">
      <alignment horizontal="center" vertical="center" wrapText="1"/>
    </xf>
    <xf numFmtId="172" fontId="0" fillId="0" borderId="2" xfId="3" applyNumberFormat="1" applyFont="1" applyBorder="1" applyAlignment="1">
      <alignment horizontal="center"/>
    </xf>
    <xf numFmtId="172" fontId="0" fillId="0" borderId="8" xfId="3" applyNumberFormat="1" applyFont="1" applyBorder="1" applyAlignment="1">
      <alignment horizontal="center"/>
    </xf>
    <xf numFmtId="172" fontId="0" fillId="0" borderId="2" xfId="2" applyNumberFormat="1" applyFont="1" applyFill="1" applyBorder="1" applyAlignment="1">
      <alignment horizontal="center" vertical="center" wrapText="1"/>
    </xf>
    <xf numFmtId="172" fontId="0" fillId="0" borderId="8" xfId="2" applyNumberFormat="1" applyFont="1" applyFill="1" applyBorder="1" applyAlignment="1">
      <alignment horizontal="center" vertical="center" wrapText="1"/>
    </xf>
    <xf numFmtId="172" fontId="0" fillId="0" borderId="13" xfId="2" applyNumberFormat="1" applyFont="1" applyFill="1" applyBorder="1" applyAlignment="1">
      <alignment horizontal="center" vertical="center" wrapText="1"/>
    </xf>
    <xf numFmtId="172" fontId="0" fillId="0" borderId="33" xfId="2" applyNumberFormat="1" applyFont="1" applyFill="1" applyBorder="1" applyAlignment="1">
      <alignment horizontal="center" vertical="center" wrapText="1"/>
    </xf>
    <xf numFmtId="172" fontId="0" fillId="0" borderId="2" xfId="3" applyNumberFormat="1" applyFont="1" applyFill="1" applyBorder="1" applyAlignment="1">
      <alignment vertical="center" wrapText="1"/>
    </xf>
    <xf numFmtId="172" fontId="0" fillId="0" borderId="8" xfId="3" applyNumberFormat="1" applyFont="1" applyBorder="1" applyAlignment="1">
      <alignment horizontal="center" vertical="center" wrapText="1"/>
    </xf>
    <xf numFmtId="172" fontId="0" fillId="0" borderId="2" xfId="3" applyNumberFormat="1" applyFont="1" applyBorder="1" applyAlignment="1">
      <alignment horizontal="center" vertical="center" wrapText="1"/>
    </xf>
    <xf numFmtId="172" fontId="2" fillId="0" borderId="11" xfId="3" applyNumberFormat="1" applyFont="1" applyBorder="1" applyAlignment="1">
      <alignment horizontal="center" vertical="center" wrapText="1"/>
    </xf>
    <xf numFmtId="172" fontId="2" fillId="0" borderId="22" xfId="3" applyNumberFormat="1" applyFont="1" applyBorder="1" applyAlignment="1">
      <alignment horizontal="center" vertical="center" wrapText="1"/>
    </xf>
    <xf numFmtId="172" fontId="2" fillId="0" borderId="10" xfId="3" applyNumberFormat="1" applyFont="1" applyBorder="1" applyAlignment="1">
      <alignment horizontal="center" vertical="center" wrapText="1"/>
    </xf>
    <xf numFmtId="172" fontId="2" fillId="0" borderId="10" xfId="3" applyNumberFormat="1" applyFont="1" applyBorder="1" applyAlignment="1">
      <alignment horizontal="right" vertical="center" wrapText="1"/>
    </xf>
    <xf numFmtId="172" fontId="2" fillId="0" borderId="10" xfId="3" applyNumberFormat="1" applyFont="1" applyFill="1" applyBorder="1" applyAlignment="1">
      <alignment horizontal="center" vertical="center" wrapText="1"/>
    </xf>
    <xf numFmtId="172" fontId="2" fillId="0" borderId="15" xfId="3" applyNumberFormat="1" applyFont="1" applyFill="1" applyBorder="1" applyAlignment="1">
      <alignment horizontal="center" vertical="center" wrapText="1"/>
    </xf>
    <xf numFmtId="172" fontId="2" fillId="0" borderId="31" xfId="3" applyNumberFormat="1" applyFont="1" applyFill="1" applyBorder="1" applyAlignment="1">
      <alignment horizontal="center" vertical="center" wrapText="1"/>
    </xf>
    <xf numFmtId="172" fontId="0" fillId="0" borderId="2" xfId="3" applyNumberFormat="1" applyFont="1" applyFill="1" applyBorder="1"/>
    <xf numFmtId="172" fontId="0" fillId="0" borderId="2" xfId="3" applyNumberFormat="1" applyFont="1" applyFill="1" applyBorder="1" applyAlignment="1">
      <alignment horizontal="center"/>
    </xf>
    <xf numFmtId="172" fontId="0" fillId="2" borderId="2" xfId="3" applyNumberFormat="1" applyFont="1" applyFill="1" applyBorder="1" applyAlignment="1">
      <alignment horizontal="center"/>
    </xf>
    <xf numFmtId="172" fontId="0" fillId="0" borderId="2" xfId="2" applyNumberFormat="1" applyFont="1" applyBorder="1" applyAlignment="1">
      <alignment horizontal="center"/>
    </xf>
    <xf numFmtId="172" fontId="0" fillId="0" borderId="2" xfId="2" applyNumberFormat="1" applyFont="1" applyBorder="1" applyAlignment="1">
      <alignment horizontal="center" vertical="center" wrapText="1"/>
    </xf>
    <xf numFmtId="172" fontId="0" fillId="0" borderId="2" xfId="3" applyNumberFormat="1" applyFont="1" applyBorder="1" applyAlignment="1">
      <alignment vertical="center" wrapText="1"/>
    </xf>
    <xf numFmtId="172" fontId="0" fillId="0" borderId="2" xfId="2" applyNumberFormat="1" applyFont="1" applyBorder="1" applyAlignment="1">
      <alignment vertical="center" wrapText="1"/>
    </xf>
    <xf numFmtId="172" fontId="2" fillId="2" borderId="10" xfId="0" applyNumberFormat="1" applyFont="1" applyFill="1" applyBorder="1"/>
    <xf numFmtId="0" fontId="2" fillId="5" borderId="26" xfId="0" applyFont="1" applyFill="1" applyBorder="1"/>
    <xf numFmtId="172" fontId="2" fillId="2" borderId="8" xfId="0" applyNumberFormat="1" applyFont="1" applyFill="1" applyBorder="1"/>
    <xf numFmtId="172" fontId="0" fillId="0" borderId="7" xfId="3" applyNumberFormat="1" applyFont="1" applyFill="1" applyBorder="1" applyAlignment="1">
      <alignment horizontal="center"/>
    </xf>
    <xf numFmtId="172" fontId="0" fillId="2" borderId="7" xfId="3" applyNumberFormat="1" applyFont="1" applyFill="1" applyBorder="1" applyAlignment="1">
      <alignment horizontal="center"/>
    </xf>
    <xf numFmtId="172" fontId="0" fillId="0" borderId="8" xfId="2" applyNumberFormat="1" applyFont="1" applyBorder="1" applyAlignment="1">
      <alignment horizontal="center"/>
    </xf>
    <xf numFmtId="172" fontId="2" fillId="2" borderId="11" xfId="0" applyNumberFormat="1" applyFont="1" applyFill="1" applyBorder="1"/>
    <xf numFmtId="172" fontId="2" fillId="2" borderId="14" xfId="0" applyNumberFormat="1" applyFont="1" applyFill="1" applyBorder="1"/>
    <xf numFmtId="0" fontId="2" fillId="0" borderId="27" xfId="0" applyFont="1" applyBorder="1" applyAlignment="1">
      <alignment horizontal="center"/>
    </xf>
    <xf numFmtId="169" fontId="0" fillId="0" borderId="7" xfId="0" quotePrefix="1" applyNumberFormat="1" applyFont="1" applyBorder="1"/>
    <xf numFmtId="169" fontId="0" fillId="0" borderId="2" xfId="0" quotePrefix="1" applyNumberFormat="1" applyFont="1" applyBorder="1"/>
    <xf numFmtId="169" fontId="0" fillId="0" borderId="2" xfId="0" applyNumberFormat="1" applyFont="1" applyBorder="1"/>
    <xf numFmtId="169" fontId="0" fillId="0" borderId="8" xfId="0" quotePrefix="1" applyNumberFormat="1" applyFont="1" applyBorder="1"/>
    <xf numFmtId="169" fontId="0" fillId="0" borderId="7" xfId="0" applyNumberFormat="1" applyFont="1" applyBorder="1"/>
    <xf numFmtId="3" fontId="0" fillId="2" borderId="7" xfId="0" applyNumberFormat="1" applyFont="1" applyFill="1" applyBorder="1"/>
    <xf numFmtId="3" fontId="0" fillId="2" borderId="8" xfId="0" applyNumberFormat="1" applyFont="1" applyFill="1" applyBorder="1"/>
    <xf numFmtId="0" fontId="0" fillId="0" borderId="0" xfId="0" applyFont="1" applyAlignment="1"/>
    <xf numFmtId="3" fontId="0" fillId="0" borderId="0" xfId="0" applyNumberFormat="1" applyFont="1"/>
    <xf numFmtId="164" fontId="0" fillId="0" borderId="0" xfId="0" applyNumberFormat="1" applyFont="1"/>
    <xf numFmtId="168" fontId="0" fillId="0" borderId="0" xfId="0" applyNumberFormat="1" applyFont="1"/>
    <xf numFmtId="0" fontId="0" fillId="0" borderId="0" xfId="0" applyFont="1" applyBorder="1" applyAlignment="1"/>
    <xf numFmtId="171" fontId="0" fillId="0" borderId="0" xfId="0" applyNumberFormat="1" applyFont="1"/>
    <xf numFmtId="172" fontId="0" fillId="0" borderId="3" xfId="3" applyNumberFormat="1" applyFont="1" applyFill="1" applyBorder="1" applyAlignment="1">
      <alignment horizontal="right" vertical="center" wrapText="1"/>
    </xf>
    <xf numFmtId="172" fontId="0" fillId="0" borderId="3" xfId="3" applyNumberFormat="1" applyFont="1" applyFill="1" applyBorder="1" applyAlignment="1">
      <alignment horizontal="center" vertical="center" wrapText="1"/>
    </xf>
    <xf numFmtId="172" fontId="0" fillId="0" borderId="1" xfId="3" applyNumberFormat="1" applyFont="1" applyFill="1" applyBorder="1" applyAlignment="1">
      <alignment horizontal="center" vertical="center" wrapText="1"/>
    </xf>
    <xf numFmtId="172" fontId="0" fillId="0" borderId="32" xfId="3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72" fontId="0" fillId="0" borderId="20" xfId="3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2" fontId="0" fillId="0" borderId="2" xfId="0" applyNumberFormat="1" applyFont="1" applyBorder="1"/>
    <xf numFmtId="0" fontId="0" fillId="0" borderId="0" xfId="0" applyFont="1" applyFill="1" applyBorder="1"/>
    <xf numFmtId="44" fontId="0" fillId="0" borderId="0" xfId="0" applyNumberFormat="1" applyFont="1"/>
    <xf numFmtId="171" fontId="0" fillId="0" borderId="0" xfId="0" applyNumberFormat="1" applyFont="1" applyFill="1" applyBorder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2" fontId="0" fillId="2" borderId="3" xfId="0" applyNumberFormat="1" applyFont="1" applyFill="1" applyBorder="1"/>
    <xf numFmtId="172" fontId="0" fillId="2" borderId="8" xfId="0" applyNumberFormat="1" applyFont="1" applyFill="1" applyBorder="1"/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170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0" fillId="0" borderId="6" xfId="0" applyFont="1" applyBorder="1"/>
    <xf numFmtId="165" fontId="0" fillId="0" borderId="6" xfId="0" applyNumberFormat="1" applyFont="1" applyBorder="1"/>
    <xf numFmtId="3" fontId="0" fillId="0" borderId="2" xfId="0" applyNumberFormat="1" applyFont="1" applyBorder="1"/>
    <xf numFmtId="0" fontId="0" fillId="0" borderId="5" xfId="0" applyFont="1" applyFill="1" applyBorder="1"/>
    <xf numFmtId="172" fontId="0" fillId="0" borderId="2" xfId="2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 vertical="center" wrapText="1"/>
    </xf>
    <xf numFmtId="172" fontId="0" fillId="0" borderId="2" xfId="0" applyNumberFormat="1" applyFont="1" applyBorder="1" applyAlignment="1">
      <alignment horizontal="right"/>
    </xf>
    <xf numFmtId="172" fontId="0" fillId="0" borderId="2" xfId="3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172" fontId="0" fillId="0" borderId="8" xfId="2" applyNumberFormat="1" applyFont="1" applyBorder="1" applyAlignment="1">
      <alignment horizontal="right"/>
    </xf>
    <xf numFmtId="172" fontId="0" fillId="0" borderId="8" xfId="3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 vertical="center" wrapText="1"/>
    </xf>
    <xf numFmtId="172" fontId="0" fillId="0" borderId="8" xfId="3" applyNumberFormat="1" applyFont="1" applyBorder="1" applyAlignment="1">
      <alignment horizontal="right" vertical="center" wrapText="1"/>
    </xf>
    <xf numFmtId="172" fontId="0" fillId="0" borderId="13" xfId="0" applyNumberFormat="1" applyFont="1" applyBorder="1" applyAlignment="1">
      <alignment horizontal="right"/>
    </xf>
    <xf numFmtId="172" fontId="0" fillId="0" borderId="13" xfId="2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 vertical="center" wrapText="1"/>
    </xf>
    <xf numFmtId="172" fontId="0" fillId="0" borderId="15" xfId="0" applyNumberFormat="1" applyFont="1" applyBorder="1" applyAlignment="1">
      <alignment horizontal="right"/>
    </xf>
    <xf numFmtId="0" fontId="0" fillId="4" borderId="16" xfId="0" applyFont="1" applyFill="1" applyBorder="1"/>
    <xf numFmtId="0" fontId="0" fillId="0" borderId="16" xfId="0" applyFont="1" applyBorder="1"/>
    <xf numFmtId="0" fontId="0" fillId="3" borderId="16" xfId="0" applyFont="1" applyFill="1" applyBorder="1"/>
    <xf numFmtId="0" fontId="0" fillId="2" borderId="16" xfId="0" applyFont="1" applyFill="1" applyBorder="1"/>
    <xf numFmtId="0" fontId="0" fillId="0" borderId="35" xfId="0" applyFont="1" applyBorder="1"/>
    <xf numFmtId="0" fontId="0" fillId="4" borderId="21" xfId="0" applyFont="1" applyFill="1" applyBorder="1"/>
    <xf numFmtId="0" fontId="0" fillId="2" borderId="17" xfId="0" applyFont="1" applyFill="1" applyBorder="1"/>
    <xf numFmtId="0" fontId="0" fillId="4" borderId="18" xfId="0" applyFont="1" applyFill="1" applyBorder="1"/>
    <xf numFmtId="172" fontId="0" fillId="0" borderId="1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0" fontId="0" fillId="0" borderId="12" xfId="0" applyFont="1" applyBorder="1"/>
    <xf numFmtId="0" fontId="2" fillId="0" borderId="36" xfId="0" applyFont="1" applyBorder="1" applyAlignment="1">
      <alignment horizont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2"/>
  <sheetViews>
    <sheetView tabSelected="1" zoomScale="90" zoomScaleNormal="90" workbookViewId="0">
      <selection activeCell="A31" sqref="A31"/>
    </sheetView>
  </sheetViews>
  <sheetFormatPr defaultRowHeight="15" x14ac:dyDescent="0.25"/>
  <cols>
    <col min="1" max="1" width="55.42578125" style="12" customWidth="1"/>
    <col min="2" max="7" width="13" style="12" bestFit="1" customWidth="1"/>
    <col min="8" max="8" width="13.42578125" style="12" bestFit="1" customWidth="1"/>
    <col min="9" max="9" width="13" style="12" bestFit="1" customWidth="1"/>
    <col min="10" max="21" width="9" style="12" customWidth="1"/>
    <col min="22" max="16384" width="9.140625" style="12"/>
  </cols>
  <sheetData>
    <row r="1" spans="1:15" ht="15.75" thickBot="1" x14ac:dyDescent="0.3">
      <c r="H1" s="12" t="s">
        <v>10</v>
      </c>
    </row>
    <row r="2" spans="1:15" ht="15.75" thickBot="1" x14ac:dyDescent="0.3">
      <c r="A2" s="88"/>
      <c r="B2" s="89">
        <v>40695</v>
      </c>
      <c r="C2" s="60">
        <v>41061</v>
      </c>
      <c r="D2" s="60">
        <v>41426</v>
      </c>
      <c r="E2" s="60">
        <v>41791</v>
      </c>
      <c r="F2" s="60">
        <v>42156</v>
      </c>
      <c r="G2" s="60">
        <v>42522</v>
      </c>
      <c r="H2" s="60">
        <v>42887</v>
      </c>
      <c r="I2" s="61">
        <v>43252</v>
      </c>
      <c r="J2" s="194"/>
      <c r="K2" s="194"/>
      <c r="L2" s="194"/>
    </row>
    <row r="3" spans="1:15" x14ac:dyDescent="0.25">
      <c r="A3" s="83" t="s">
        <v>0</v>
      </c>
      <c r="B3" s="108">
        <f t="shared" ref="B3:H3" si="0">SUM(B4,B10)</f>
        <v>36084.778999999995</v>
      </c>
      <c r="C3" s="109">
        <f t="shared" si="0"/>
        <v>36548.238999999994</v>
      </c>
      <c r="D3" s="109">
        <f t="shared" si="0"/>
        <v>37004.188999999998</v>
      </c>
      <c r="E3" s="109">
        <f t="shared" si="0"/>
        <v>37426.156000000003</v>
      </c>
      <c r="F3" s="109">
        <f t="shared" si="0"/>
        <v>37902.298000000003</v>
      </c>
      <c r="G3" s="109">
        <f t="shared" si="0"/>
        <v>38749.918000000005</v>
      </c>
      <c r="H3" s="109">
        <f t="shared" si="0"/>
        <v>39850.563999999998</v>
      </c>
      <c r="I3" s="110">
        <v>34879.821000000004</v>
      </c>
      <c r="J3" s="3"/>
      <c r="K3" s="195"/>
      <c r="L3" s="195"/>
    </row>
    <row r="4" spans="1:15" x14ac:dyDescent="0.25">
      <c r="A4" s="84" t="s">
        <v>1</v>
      </c>
      <c r="B4" s="111">
        <f t="shared" ref="B4:H4" si="1">SUM(B5:B9)</f>
        <v>9387.875</v>
      </c>
      <c r="C4" s="112">
        <f t="shared" si="1"/>
        <v>7524.9359999999997</v>
      </c>
      <c r="D4" s="112">
        <f t="shared" si="1"/>
        <v>8069.2629999999999</v>
      </c>
      <c r="E4" s="112">
        <f t="shared" si="1"/>
        <v>11277.644</v>
      </c>
      <c r="F4" s="112">
        <f t="shared" si="1"/>
        <v>12283.092999999999</v>
      </c>
      <c r="G4" s="112">
        <f t="shared" si="1"/>
        <v>6232.7170000000006</v>
      </c>
      <c r="H4" s="112">
        <f t="shared" si="1"/>
        <v>11623.135</v>
      </c>
      <c r="I4" s="113">
        <v>11204.155000000001</v>
      </c>
      <c r="K4" s="195"/>
      <c r="L4" s="195"/>
    </row>
    <row r="5" spans="1:15" x14ac:dyDescent="0.25">
      <c r="A5" s="85" t="s">
        <v>58</v>
      </c>
      <c r="B5" s="114">
        <f>'4'!B13/1000</f>
        <v>1677.173</v>
      </c>
      <c r="C5" s="115">
        <f>'4'!C13/1000</f>
        <v>2130.605</v>
      </c>
      <c r="D5" s="115">
        <f>'4'!D13/1000</f>
        <v>1286.0039999999999</v>
      </c>
      <c r="E5" s="115">
        <f>'4'!E13/1000</f>
        <v>1326.643</v>
      </c>
      <c r="F5" s="115">
        <f>'4'!F13/1000</f>
        <v>1941.248</v>
      </c>
      <c r="G5" s="115">
        <f>'4'!G13/1000</f>
        <v>3313.6480000000001</v>
      </c>
      <c r="H5" s="115">
        <f>'4'!H13/1000</f>
        <v>7979.2740000000003</v>
      </c>
      <c r="I5" s="116">
        <v>14388.237999999999</v>
      </c>
      <c r="K5" s="195"/>
      <c r="L5" s="195"/>
    </row>
    <row r="6" spans="1:15" x14ac:dyDescent="0.25">
      <c r="A6" s="85" t="s">
        <v>16</v>
      </c>
      <c r="B6" s="114">
        <f>'5'!B10/1000</f>
        <v>15.307</v>
      </c>
      <c r="C6" s="115">
        <f>'5'!C10/1000</f>
        <v>7.9850000000000003</v>
      </c>
      <c r="D6" s="115">
        <f>'5'!D10/1000</f>
        <v>6.8739999999999997</v>
      </c>
      <c r="E6" s="115">
        <f>'5'!E10/1000</f>
        <v>9.0210000000000008</v>
      </c>
      <c r="F6" s="115">
        <f>'5'!F10/1000</f>
        <v>18.268999999999998</v>
      </c>
      <c r="G6" s="115">
        <f>'5'!G10/1000</f>
        <v>26.317</v>
      </c>
      <c r="H6" s="115">
        <f>'5'!H10/1000</f>
        <v>13.04</v>
      </c>
      <c r="I6" s="116">
        <v>62.905000000000001</v>
      </c>
      <c r="J6" s="3"/>
      <c r="K6" s="195"/>
      <c r="L6" s="195"/>
    </row>
    <row r="7" spans="1:15" x14ac:dyDescent="0.25">
      <c r="A7" s="85" t="s">
        <v>59</v>
      </c>
      <c r="B7" s="114">
        <f>'6'!B5/1000</f>
        <v>1135.3489999999999</v>
      </c>
      <c r="C7" s="115">
        <f>'6'!C5/1000</f>
        <v>930.59199999999998</v>
      </c>
      <c r="D7" s="115">
        <f>'6'!D5/1000</f>
        <v>758.947</v>
      </c>
      <c r="E7" s="115">
        <f>'6'!E5/1000</f>
        <v>125.79300000000001</v>
      </c>
      <c r="F7" s="115">
        <f>'6'!F5/1000</f>
        <v>96.248999999999995</v>
      </c>
      <c r="G7" s="115">
        <f>'6'!G5/1000</f>
        <v>79.790999999999997</v>
      </c>
      <c r="H7" s="115">
        <f>'6'!H5/1000</f>
        <v>95.619</v>
      </c>
      <c r="I7" s="116">
        <v>129.661</v>
      </c>
      <c r="J7" s="3"/>
      <c r="K7" s="195"/>
      <c r="L7" s="195"/>
      <c r="M7" s="196"/>
    </row>
    <row r="8" spans="1:15" x14ac:dyDescent="0.25">
      <c r="A8" s="85" t="s">
        <v>60</v>
      </c>
      <c r="B8" s="114">
        <f>'7'!D18/1000</f>
        <v>6560.0460000000003</v>
      </c>
      <c r="C8" s="115">
        <f>'7'!E18/1000</f>
        <v>4455.7539999999999</v>
      </c>
      <c r="D8" s="115">
        <f>'7'!F18/1000</f>
        <v>6012.3850000000002</v>
      </c>
      <c r="E8" s="115">
        <f>'7'!G18/1000</f>
        <v>9815.3389999999999</v>
      </c>
      <c r="F8" s="115">
        <f>'7'!H18/1000</f>
        <v>10227.285</v>
      </c>
      <c r="G8" s="115">
        <f>'7'!I18/1000</f>
        <v>2812.9079999999999</v>
      </c>
      <c r="H8" s="115">
        <f>'7'!J18/1000</f>
        <v>3535.0050000000001</v>
      </c>
      <c r="I8" s="116">
        <v>1623.3510000000001</v>
      </c>
      <c r="J8" s="3"/>
      <c r="K8" s="195"/>
      <c r="L8" s="195"/>
      <c r="M8" s="196"/>
    </row>
    <row r="9" spans="1:15" x14ac:dyDescent="0.25">
      <c r="A9" s="85" t="s">
        <v>61</v>
      </c>
      <c r="B9" s="117" t="s">
        <v>46</v>
      </c>
      <c r="C9" s="118" t="s">
        <v>46</v>
      </c>
      <c r="D9" s="115">
        <f>'8'!D12/1000</f>
        <v>5.0529999999999999</v>
      </c>
      <c r="E9" s="115">
        <f>'8'!E12/1000</f>
        <v>0.84799999999999998</v>
      </c>
      <c r="F9" s="115">
        <f>'8'!F12/1000</f>
        <v>4.2000000000000003E-2</v>
      </c>
      <c r="G9" s="115">
        <f>'8'!G12/1000</f>
        <v>5.2999999999999999E-2</v>
      </c>
      <c r="H9" s="115">
        <f>'8'!H12/1000</f>
        <v>0.19700000000000001</v>
      </c>
      <c r="I9" s="119" t="s">
        <v>46</v>
      </c>
      <c r="J9" s="3"/>
      <c r="K9" s="195"/>
      <c r="L9" s="195"/>
      <c r="M9" s="196"/>
    </row>
    <row r="10" spans="1:15" x14ac:dyDescent="0.25">
      <c r="A10" s="84" t="s">
        <v>62</v>
      </c>
      <c r="B10" s="111">
        <f>SUM(B11:B13)</f>
        <v>26696.903999999999</v>
      </c>
      <c r="C10" s="112">
        <f>SUM(C11:C13)</f>
        <v>29023.302999999996</v>
      </c>
      <c r="D10" s="112">
        <f t="shared" ref="D10:H10" si="2">SUM(D11:D13)</f>
        <v>28934.925999999999</v>
      </c>
      <c r="E10" s="112">
        <f t="shared" si="2"/>
        <v>26148.512000000002</v>
      </c>
      <c r="F10" s="112">
        <f t="shared" si="2"/>
        <v>25619.205000000002</v>
      </c>
      <c r="G10" s="112">
        <f t="shared" si="2"/>
        <v>32517.201000000001</v>
      </c>
      <c r="H10" s="112">
        <f t="shared" si="2"/>
        <v>28227.429</v>
      </c>
      <c r="I10" s="113">
        <v>18675.666000000001</v>
      </c>
      <c r="J10" s="3"/>
      <c r="K10" s="195"/>
      <c r="L10" s="195"/>
    </row>
    <row r="11" spans="1:15" x14ac:dyDescent="0.25">
      <c r="A11" s="85" t="s">
        <v>59</v>
      </c>
      <c r="B11" s="114">
        <f>'6'!B8/1000</f>
        <v>7.8E-2</v>
      </c>
      <c r="C11" s="115">
        <f>'6'!C8/1000</f>
        <v>8.3000000000000004E-2</v>
      </c>
      <c r="D11" s="115">
        <f>'6'!D8/1000</f>
        <v>8.7999999999999995E-2</v>
      </c>
      <c r="E11" s="115">
        <f>'6'!E8/1000</f>
        <v>9.2999999999999999E-2</v>
      </c>
      <c r="F11" s="115">
        <f>'6'!F8/1000</f>
        <v>9.8000000000000004E-2</v>
      </c>
      <c r="G11" s="115">
        <f>'6'!G8/1000</f>
        <v>0.111</v>
      </c>
      <c r="H11" s="115">
        <f>'6'!H8/1000</f>
        <v>0.11</v>
      </c>
      <c r="I11" s="116">
        <v>0.11700000000000001</v>
      </c>
      <c r="J11" s="3"/>
      <c r="K11" s="195"/>
      <c r="L11" s="195"/>
      <c r="M11" s="195"/>
      <c r="N11" s="195"/>
      <c r="O11" s="195"/>
    </row>
    <row r="12" spans="1:15" x14ac:dyDescent="0.25">
      <c r="A12" s="85" t="s">
        <v>60</v>
      </c>
      <c r="B12" s="114">
        <f>'7'!D26/1000</f>
        <v>26520.887999999999</v>
      </c>
      <c r="C12" s="115">
        <f>'7'!E26/1000</f>
        <v>28839.994999999999</v>
      </c>
      <c r="D12" s="115">
        <f>'7'!F26/1000</f>
        <v>28934.838</v>
      </c>
      <c r="E12" s="115">
        <f>'7'!G26/1000</f>
        <v>26148.419000000002</v>
      </c>
      <c r="F12" s="115">
        <f>'7'!H26/1000</f>
        <v>25619.107</v>
      </c>
      <c r="G12" s="115">
        <f>'7'!I26/1000</f>
        <v>32517.09</v>
      </c>
      <c r="H12" s="115">
        <f>'7'!J26/1000</f>
        <v>28227.319</v>
      </c>
      <c r="I12" s="116">
        <v>18675.548999999999</v>
      </c>
      <c r="J12" s="3"/>
      <c r="K12" s="195"/>
      <c r="L12" s="195"/>
      <c r="M12" s="195"/>
    </row>
    <row r="13" spans="1:15" x14ac:dyDescent="0.25">
      <c r="A13" s="85" t="s">
        <v>61</v>
      </c>
      <c r="B13" s="114">
        <f>'8'!B12/1000</f>
        <v>175.93799999999999</v>
      </c>
      <c r="C13" s="115">
        <f>'8'!C12/1000</f>
        <v>183.22499999999999</v>
      </c>
      <c r="D13" s="118" t="s">
        <v>46</v>
      </c>
      <c r="E13" s="118" t="s">
        <v>46</v>
      </c>
      <c r="F13" s="118" t="s">
        <v>46</v>
      </c>
      <c r="G13" s="118" t="s">
        <v>46</v>
      </c>
      <c r="H13" s="118" t="s">
        <v>46</v>
      </c>
      <c r="I13" s="119" t="s">
        <v>46</v>
      </c>
      <c r="J13" s="3"/>
      <c r="K13" s="195"/>
      <c r="L13" s="195"/>
      <c r="M13" s="196"/>
    </row>
    <row r="14" spans="1:15" x14ac:dyDescent="0.25">
      <c r="A14" s="83" t="s">
        <v>78</v>
      </c>
      <c r="B14" s="120">
        <f t="shared" ref="B14:H14" si="3">SUM(B15,B18)</f>
        <v>36084.779000000002</v>
      </c>
      <c r="C14" s="121">
        <f t="shared" si="3"/>
        <v>36548.239000000001</v>
      </c>
      <c r="D14" s="121">
        <f t="shared" si="3"/>
        <v>37004.188999999998</v>
      </c>
      <c r="E14" s="121">
        <f t="shared" si="3"/>
        <v>37426.155999999995</v>
      </c>
      <c r="F14" s="121">
        <f t="shared" si="3"/>
        <v>37902.298000000003</v>
      </c>
      <c r="G14" s="121">
        <f t="shared" si="3"/>
        <v>38749.918000000005</v>
      </c>
      <c r="H14" s="121">
        <f t="shared" si="3"/>
        <v>39850.564000000006</v>
      </c>
      <c r="I14" s="122">
        <v>34879.821000000004</v>
      </c>
      <c r="J14" s="3"/>
      <c r="K14" s="195"/>
      <c r="L14" s="195"/>
    </row>
    <row r="15" spans="1:15" x14ac:dyDescent="0.25">
      <c r="A15" s="84" t="s">
        <v>1</v>
      </c>
      <c r="B15" s="111">
        <f t="shared" ref="B15:H15" si="4">SUM(B16:B17)</f>
        <v>4.7080000000000002</v>
      </c>
      <c r="C15" s="112">
        <f t="shared" si="4"/>
        <v>4.5460000000000003</v>
      </c>
      <c r="D15" s="112">
        <f t="shared" si="4"/>
        <v>4.5940000000000003</v>
      </c>
      <c r="E15" s="112">
        <f t="shared" si="4"/>
        <v>4.1849999999999996</v>
      </c>
      <c r="F15" s="112">
        <f t="shared" si="4"/>
        <v>8.5259999999999998</v>
      </c>
      <c r="G15" s="112">
        <f t="shared" si="4"/>
        <v>11.654</v>
      </c>
      <c r="H15" s="112">
        <f t="shared" si="4"/>
        <v>12.196000000000002</v>
      </c>
      <c r="I15" s="113">
        <v>56.356000000000002</v>
      </c>
      <c r="K15" s="195"/>
      <c r="L15" s="195"/>
    </row>
    <row r="16" spans="1:15" x14ac:dyDescent="0.25">
      <c r="A16" s="85" t="s">
        <v>80</v>
      </c>
      <c r="B16" s="114">
        <f>'9'!B8/1000</f>
        <v>4.7080000000000002</v>
      </c>
      <c r="C16" s="115">
        <f>'9'!C8/1000</f>
        <v>4.5460000000000003</v>
      </c>
      <c r="D16" s="115">
        <f>'9'!D8/1000</f>
        <v>4.5940000000000003</v>
      </c>
      <c r="E16" s="115">
        <f>'9'!E8/1000</f>
        <v>4.1849999999999996</v>
      </c>
      <c r="F16" s="115">
        <f>'9'!F8/1000</f>
        <v>5.0439999999999996</v>
      </c>
      <c r="G16" s="115">
        <f>'9'!G8/1000</f>
        <v>7.7729999999999997</v>
      </c>
      <c r="H16" s="115">
        <f>'9'!H8/1000</f>
        <v>8.1690000000000005</v>
      </c>
      <c r="I16" s="113">
        <v>56.356000000000002</v>
      </c>
      <c r="K16" s="195"/>
      <c r="L16" s="195"/>
    </row>
    <row r="17" spans="1:15" x14ac:dyDescent="0.25">
      <c r="A17" s="85" t="s">
        <v>81</v>
      </c>
      <c r="B17" s="114">
        <f>'10'!F6/1000</f>
        <v>0</v>
      </c>
      <c r="C17" s="115">
        <f>'10'!G6/1000</f>
        <v>0</v>
      </c>
      <c r="D17" s="115">
        <f>'10'!H6/1000</f>
        <v>0</v>
      </c>
      <c r="E17" s="115">
        <f>'10'!I6/1000</f>
        <v>0</v>
      </c>
      <c r="F17" s="115">
        <f>'10'!J6/1000</f>
        <v>3.4820000000000002</v>
      </c>
      <c r="G17" s="115">
        <f>'10'!K6/1000</f>
        <v>3.8809999999999998</v>
      </c>
      <c r="H17" s="115">
        <f>'10'!L6/1000</f>
        <v>4.0270000000000001</v>
      </c>
      <c r="I17" s="119" t="s">
        <v>46</v>
      </c>
      <c r="J17" s="3"/>
      <c r="K17" s="195"/>
      <c r="L17" s="195"/>
    </row>
    <row r="18" spans="1:15" x14ac:dyDescent="0.25">
      <c r="A18" s="86" t="s">
        <v>79</v>
      </c>
      <c r="B18" s="111">
        <f t="shared" ref="B18:H18" si="5">SUM(B19:B20)</f>
        <v>36080.071000000004</v>
      </c>
      <c r="C18" s="112">
        <f t="shared" si="5"/>
        <v>36543.692999999999</v>
      </c>
      <c r="D18" s="112">
        <f t="shared" si="5"/>
        <v>36999.595000000001</v>
      </c>
      <c r="E18" s="112">
        <f t="shared" si="5"/>
        <v>37421.970999999998</v>
      </c>
      <c r="F18" s="112">
        <f t="shared" si="5"/>
        <v>37893.772000000004</v>
      </c>
      <c r="G18" s="112">
        <f t="shared" si="5"/>
        <v>38738.264000000003</v>
      </c>
      <c r="H18" s="112">
        <f t="shared" si="5"/>
        <v>39838.368000000002</v>
      </c>
      <c r="I18" s="113">
        <v>34823.464</v>
      </c>
      <c r="J18" s="3"/>
      <c r="K18" s="195"/>
      <c r="L18" s="195"/>
    </row>
    <row r="19" spans="1:15" x14ac:dyDescent="0.25">
      <c r="A19" s="85" t="s">
        <v>82</v>
      </c>
      <c r="B19" s="114">
        <f>'14'!M45/1000</f>
        <v>33587.845000000001</v>
      </c>
      <c r="C19" s="115">
        <f>'14'!N45/1000</f>
        <v>34016.642</v>
      </c>
      <c r="D19" s="115">
        <f>'14'!O45/1000</f>
        <v>34757.186000000002</v>
      </c>
      <c r="E19" s="115">
        <f>'14'!P45/1000</f>
        <v>35628.379000000001</v>
      </c>
      <c r="F19" s="115">
        <f>'14'!Q45/1000</f>
        <v>36606.434000000001</v>
      </c>
      <c r="G19" s="115">
        <f>'14'!R45/1000</f>
        <v>37641.754000000001</v>
      </c>
      <c r="H19" s="115">
        <f>'14'!S45/1000</f>
        <v>38841.231</v>
      </c>
      <c r="I19" s="116">
        <v>34348.190999999999</v>
      </c>
      <c r="J19" s="3"/>
      <c r="K19" s="195"/>
      <c r="L19" s="195"/>
      <c r="M19" s="195"/>
      <c r="N19" s="195"/>
      <c r="O19" s="195"/>
    </row>
    <row r="20" spans="1:15" ht="15.75" thickBot="1" x14ac:dyDescent="0.3">
      <c r="A20" s="87" t="s">
        <v>83</v>
      </c>
      <c r="B20" s="123">
        <f>'14'!M57/1000</f>
        <v>2492.2260000000001</v>
      </c>
      <c r="C20" s="124">
        <f>'14'!N57/1000</f>
        <v>2527.0509999999999</v>
      </c>
      <c r="D20" s="124">
        <f>'14'!O57/1000</f>
        <v>2242.4090000000001</v>
      </c>
      <c r="E20" s="124">
        <f>'14'!P57/1000</f>
        <v>1793.5920000000001</v>
      </c>
      <c r="F20" s="124">
        <f>'14'!Q57/1000</f>
        <v>1287.338</v>
      </c>
      <c r="G20" s="124">
        <f>'14'!R57/1000</f>
        <v>1096.51</v>
      </c>
      <c r="H20" s="124">
        <f>'14'!S57/1000</f>
        <v>997.13699999999994</v>
      </c>
      <c r="I20" s="125">
        <v>475.27300000000002</v>
      </c>
      <c r="J20" s="3"/>
      <c r="K20" s="195"/>
      <c r="L20" s="195"/>
      <c r="M20" s="195"/>
    </row>
    <row r="21" spans="1:15" x14ac:dyDescent="0.25">
      <c r="B21" s="195"/>
      <c r="C21" s="195"/>
      <c r="D21" s="195"/>
      <c r="E21" s="195"/>
      <c r="F21" s="195"/>
      <c r="G21" s="195"/>
      <c r="H21" s="195"/>
      <c r="J21" s="3"/>
      <c r="K21" s="195"/>
    </row>
    <row r="22" spans="1:15" x14ac:dyDescent="0.25">
      <c r="B22" s="197"/>
      <c r="C22" s="197"/>
      <c r="D22" s="197"/>
      <c r="E22" s="197"/>
      <c r="F22" s="197"/>
      <c r="G22" s="197"/>
      <c r="H22" s="19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workbookViewId="0">
      <selection activeCell="L34" sqref="L34"/>
    </sheetView>
  </sheetViews>
  <sheetFormatPr defaultRowHeight="15" x14ac:dyDescent="0.25"/>
  <cols>
    <col min="1" max="1" width="18.28515625" style="13" customWidth="1"/>
    <col min="2" max="2" width="9.85546875" customWidth="1"/>
    <col min="3" max="7" width="9.85546875" bestFit="1" customWidth="1"/>
    <col min="8" max="8" width="10" customWidth="1"/>
    <col min="9" max="9" width="10.85546875" bestFit="1" customWidth="1"/>
    <col min="10" max="10" width="9.85546875" bestFit="1" customWidth="1"/>
  </cols>
  <sheetData>
    <row r="1" spans="1:10" x14ac:dyDescent="0.25">
      <c r="A1" s="13" t="s">
        <v>12</v>
      </c>
    </row>
    <row r="2" spans="1:10" x14ac:dyDescent="0.25">
      <c r="A2" s="13" t="s">
        <v>13</v>
      </c>
    </row>
    <row r="3" spans="1:10" x14ac:dyDescent="0.25">
      <c r="A3" s="13" t="s">
        <v>9</v>
      </c>
    </row>
    <row r="4" spans="1:10" x14ac:dyDescent="0.25"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10" x14ac:dyDescent="0.25">
      <c r="A5" s="14" t="s">
        <v>2</v>
      </c>
      <c r="B5" s="5">
        <f t="shared" ref="B5:H5" si="0">SUM(B6:B7)</f>
        <v>1092866</v>
      </c>
      <c r="C5" s="5">
        <f t="shared" si="0"/>
        <v>893710</v>
      </c>
      <c r="D5" s="5">
        <f t="shared" si="0"/>
        <v>661517</v>
      </c>
      <c r="E5" s="5">
        <f t="shared" si="0"/>
        <v>1004294</v>
      </c>
      <c r="F5" s="5">
        <f t="shared" si="0"/>
        <v>1403494</v>
      </c>
      <c r="G5" s="5">
        <f t="shared" si="0"/>
        <v>1950698</v>
      </c>
      <c r="H5" s="5">
        <f t="shared" si="0"/>
        <v>871911</v>
      </c>
      <c r="I5" s="5">
        <f>SUM(I6:I7)</f>
        <v>13307913</v>
      </c>
    </row>
    <row r="6" spans="1:10" x14ac:dyDescent="0.25">
      <c r="A6" s="15" t="s">
        <v>3</v>
      </c>
      <c r="B6" s="4">
        <v>431407</v>
      </c>
      <c r="C6" s="4">
        <v>328862</v>
      </c>
      <c r="D6" s="4">
        <v>233416</v>
      </c>
      <c r="E6" s="4">
        <v>372579</v>
      </c>
      <c r="F6" s="4">
        <v>565941</v>
      </c>
      <c r="G6" s="4">
        <v>615736</v>
      </c>
      <c r="H6" s="4">
        <v>518259</v>
      </c>
      <c r="I6" s="4">
        <v>2182276</v>
      </c>
    </row>
    <row r="7" spans="1:10" x14ac:dyDescent="0.25">
      <c r="A7" s="15" t="s">
        <v>4</v>
      </c>
      <c r="B7" s="4">
        <v>661459</v>
      </c>
      <c r="C7" s="4">
        <v>564848</v>
      </c>
      <c r="D7" s="4">
        <v>428101</v>
      </c>
      <c r="E7" s="4">
        <v>631715</v>
      </c>
      <c r="F7" s="4">
        <v>837553</v>
      </c>
      <c r="G7" s="4">
        <v>1334962</v>
      </c>
      <c r="H7" s="4">
        <v>353652</v>
      </c>
      <c r="I7" s="4">
        <v>11125637</v>
      </c>
    </row>
    <row r="8" spans="1:10" x14ac:dyDescent="0.25">
      <c r="A8" s="16" t="s">
        <v>5</v>
      </c>
      <c r="B8" s="1">
        <f t="shared" ref="B8:H8" si="1">SUM(B9:B12)</f>
        <v>584307</v>
      </c>
      <c r="C8" s="1">
        <f t="shared" si="1"/>
        <v>1236895</v>
      </c>
      <c r="D8" s="1">
        <f t="shared" si="1"/>
        <v>624487</v>
      </c>
      <c r="E8" s="1">
        <f t="shared" si="1"/>
        <v>322349</v>
      </c>
      <c r="F8" s="1">
        <f t="shared" si="1"/>
        <v>537754</v>
      </c>
      <c r="G8" s="1">
        <f t="shared" si="1"/>
        <v>1362950</v>
      </c>
      <c r="H8" s="1">
        <f t="shared" si="1"/>
        <v>7107363</v>
      </c>
      <c r="I8" s="1">
        <f t="shared" ref="I8" si="2">SUM(I9:I12)</f>
        <v>1080325</v>
      </c>
    </row>
    <row r="9" spans="1:10" x14ac:dyDescent="0.25">
      <c r="A9" s="15" t="s">
        <v>6</v>
      </c>
      <c r="B9" s="4">
        <v>22230</v>
      </c>
      <c r="C9" s="4">
        <v>22165</v>
      </c>
      <c r="D9" s="4">
        <v>22244</v>
      </c>
      <c r="E9" s="4">
        <v>24078</v>
      </c>
      <c r="F9" s="4">
        <v>14677</v>
      </c>
      <c r="G9" s="4">
        <v>923416</v>
      </c>
      <c r="H9" s="4">
        <v>6764965</v>
      </c>
      <c r="I9" s="4">
        <v>180832</v>
      </c>
      <c r="J9" s="2"/>
    </row>
    <row r="10" spans="1:10" x14ac:dyDescent="0.25">
      <c r="A10" s="15" t="s">
        <v>4</v>
      </c>
      <c r="B10" s="4">
        <v>38818</v>
      </c>
      <c r="C10" s="4">
        <v>287009</v>
      </c>
      <c r="D10" s="4">
        <v>19827</v>
      </c>
      <c r="E10" s="4">
        <v>68536</v>
      </c>
      <c r="F10" s="4">
        <v>97463</v>
      </c>
      <c r="G10" s="4">
        <v>7097</v>
      </c>
      <c r="H10" s="4">
        <v>260500</v>
      </c>
      <c r="I10" s="4">
        <v>279837</v>
      </c>
    </row>
    <row r="11" spans="1:10" x14ac:dyDescent="0.25">
      <c r="A11" s="15" t="s">
        <v>3</v>
      </c>
      <c r="B11" s="4">
        <v>110103</v>
      </c>
      <c r="C11" s="4">
        <v>244874</v>
      </c>
      <c r="D11" s="4">
        <v>564888</v>
      </c>
      <c r="E11" s="4">
        <v>219334</v>
      </c>
      <c r="F11" s="4">
        <v>415630</v>
      </c>
      <c r="G11" s="4">
        <v>417751</v>
      </c>
      <c r="H11" s="4">
        <v>71520</v>
      </c>
      <c r="I11" s="4">
        <v>609564</v>
      </c>
    </row>
    <row r="12" spans="1:10" x14ac:dyDescent="0.25">
      <c r="A12" s="15" t="s">
        <v>7</v>
      </c>
      <c r="B12" s="4">
        <v>413156</v>
      </c>
      <c r="C12" s="4">
        <v>682847</v>
      </c>
      <c r="D12" s="4">
        <v>17528</v>
      </c>
      <c r="E12" s="4">
        <v>10401</v>
      </c>
      <c r="F12" s="4">
        <v>9984</v>
      </c>
      <c r="G12" s="4">
        <v>14686</v>
      </c>
      <c r="H12" s="4">
        <v>10378</v>
      </c>
      <c r="I12" s="4">
        <v>10092</v>
      </c>
    </row>
    <row r="13" spans="1:10" x14ac:dyDescent="0.25">
      <c r="A13" s="16" t="s">
        <v>8</v>
      </c>
      <c r="B13" s="1">
        <f t="shared" ref="B13:H13" si="3">B5+B8</f>
        <v>1677173</v>
      </c>
      <c r="C13" s="1">
        <f t="shared" si="3"/>
        <v>2130605</v>
      </c>
      <c r="D13" s="1">
        <f t="shared" si="3"/>
        <v>1286004</v>
      </c>
      <c r="E13" s="1">
        <f t="shared" si="3"/>
        <v>1326643</v>
      </c>
      <c r="F13" s="1">
        <f t="shared" si="3"/>
        <v>1941248</v>
      </c>
      <c r="G13" s="1">
        <f t="shared" si="3"/>
        <v>3313648</v>
      </c>
      <c r="H13" s="1">
        <f t="shared" si="3"/>
        <v>7979274</v>
      </c>
      <c r="I13" s="1">
        <f t="shared" ref="I13" si="4">I5+I8</f>
        <v>14388238</v>
      </c>
    </row>
    <row r="14" spans="1:10" x14ac:dyDescent="0.25">
      <c r="J14" s="2"/>
    </row>
    <row r="15" spans="1:10" x14ac:dyDescent="0.25">
      <c r="A15" s="13" t="s">
        <v>14</v>
      </c>
    </row>
    <row r="16" spans="1:10" x14ac:dyDescent="0.25">
      <c r="A16" s="13" t="s">
        <v>9</v>
      </c>
    </row>
    <row r="17" spans="1:9" x14ac:dyDescent="0.25">
      <c r="B17" s="6">
        <v>40695</v>
      </c>
      <c r="C17" s="6">
        <v>41061</v>
      </c>
      <c r="D17" s="6">
        <v>41426</v>
      </c>
      <c r="E17" s="6">
        <v>41791</v>
      </c>
      <c r="F17" s="6">
        <v>42156</v>
      </c>
      <c r="G17" s="6">
        <v>42522</v>
      </c>
      <c r="H17" s="6">
        <v>42887</v>
      </c>
      <c r="I17" s="6">
        <v>43252</v>
      </c>
    </row>
    <row r="18" spans="1:9" x14ac:dyDescent="0.25">
      <c r="A18" s="14" t="s">
        <v>2</v>
      </c>
      <c r="B18" s="5">
        <f t="shared" ref="B18:H18" si="5">SUM(B19:B20)</f>
        <v>0</v>
      </c>
      <c r="C18" s="5">
        <f t="shared" si="5"/>
        <v>67268</v>
      </c>
      <c r="D18" s="5">
        <f t="shared" si="5"/>
        <v>32874</v>
      </c>
      <c r="E18" s="5">
        <f t="shared" si="5"/>
        <v>49797</v>
      </c>
      <c r="F18" s="5">
        <f t="shared" si="5"/>
        <v>106184</v>
      </c>
      <c r="G18" s="5">
        <f t="shared" si="5"/>
        <v>217640</v>
      </c>
      <c r="H18" s="5">
        <f t="shared" si="5"/>
        <v>171664</v>
      </c>
      <c r="I18" s="5">
        <f t="shared" ref="I18" si="6">SUM(I19:I20)</f>
        <v>376206</v>
      </c>
    </row>
    <row r="19" spans="1:9" x14ac:dyDescent="0.25">
      <c r="A19" s="15" t="s">
        <v>3</v>
      </c>
      <c r="B19" s="10" t="s">
        <v>46</v>
      </c>
      <c r="C19" s="4">
        <v>27436</v>
      </c>
      <c r="D19" s="4">
        <v>12767</v>
      </c>
      <c r="E19" s="4">
        <v>20492</v>
      </c>
      <c r="F19" s="4">
        <v>45444</v>
      </c>
      <c r="G19" s="4">
        <v>75974</v>
      </c>
      <c r="H19" s="4">
        <v>66506</v>
      </c>
      <c r="I19" s="4">
        <v>121406</v>
      </c>
    </row>
    <row r="20" spans="1:9" x14ac:dyDescent="0.25">
      <c r="A20" s="15" t="s">
        <v>4</v>
      </c>
      <c r="B20" s="10" t="s">
        <v>46</v>
      </c>
      <c r="C20" s="4">
        <v>39832</v>
      </c>
      <c r="D20" s="4">
        <v>20107</v>
      </c>
      <c r="E20" s="4">
        <v>29305</v>
      </c>
      <c r="F20" s="4">
        <v>60740</v>
      </c>
      <c r="G20" s="4">
        <v>141666</v>
      </c>
      <c r="H20" s="4">
        <v>105158</v>
      </c>
      <c r="I20" s="4">
        <v>254800</v>
      </c>
    </row>
    <row r="21" spans="1:9" x14ac:dyDescent="0.25">
      <c r="A21" s="16" t="s">
        <v>5</v>
      </c>
      <c r="B21" s="1">
        <f t="shared" ref="B21:H21" si="7">SUM(B22:B25)</f>
        <v>181835</v>
      </c>
      <c r="C21" s="1">
        <f t="shared" si="7"/>
        <v>118542</v>
      </c>
      <c r="D21" s="1">
        <f t="shared" si="7"/>
        <v>81317</v>
      </c>
      <c r="E21" s="1">
        <f t="shared" si="7"/>
        <v>78905</v>
      </c>
      <c r="F21" s="1">
        <f t="shared" si="7"/>
        <v>80709</v>
      </c>
      <c r="G21" s="1">
        <f t="shared" si="7"/>
        <v>91532</v>
      </c>
      <c r="H21" s="1">
        <f t="shared" si="7"/>
        <v>495808</v>
      </c>
      <c r="I21" s="1">
        <f t="shared" ref="I21" si="8">SUM(I22:I25)</f>
        <v>304048</v>
      </c>
    </row>
    <row r="22" spans="1:9" x14ac:dyDescent="0.25">
      <c r="A22" s="15" t="s">
        <v>6</v>
      </c>
      <c r="B22" s="4">
        <v>30141</v>
      </c>
      <c r="C22" s="4">
        <v>27391</v>
      </c>
      <c r="D22" s="4">
        <v>15119</v>
      </c>
      <c r="E22" s="4">
        <v>21471</v>
      </c>
      <c r="F22" s="4">
        <v>38366</v>
      </c>
      <c r="G22" s="4">
        <v>24620</v>
      </c>
      <c r="H22" s="4">
        <v>414246</v>
      </c>
      <c r="I22" s="4">
        <v>251125</v>
      </c>
    </row>
    <row r="23" spans="1:9" x14ac:dyDescent="0.25">
      <c r="A23" s="15" t="s">
        <v>4</v>
      </c>
      <c r="B23" s="4">
        <v>57749</v>
      </c>
      <c r="C23" s="4">
        <v>13566</v>
      </c>
      <c r="D23" s="4">
        <v>8128</v>
      </c>
      <c r="E23" s="4">
        <v>9324</v>
      </c>
      <c r="F23" s="4">
        <v>7484</v>
      </c>
      <c r="G23" s="4">
        <v>15879</v>
      </c>
      <c r="H23" s="4">
        <v>17350</v>
      </c>
      <c r="I23" s="4">
        <v>21194</v>
      </c>
    </row>
    <row r="24" spans="1:9" x14ac:dyDescent="0.25">
      <c r="A24" s="15" t="s">
        <v>3</v>
      </c>
      <c r="B24" s="4">
        <v>62658</v>
      </c>
      <c r="C24" s="4">
        <v>27670</v>
      </c>
      <c r="D24" s="4">
        <v>31502</v>
      </c>
      <c r="E24" s="4">
        <v>44696</v>
      </c>
      <c r="F24" s="4">
        <v>33530</v>
      </c>
      <c r="G24" s="4">
        <v>49584</v>
      </c>
      <c r="H24" s="4">
        <v>52346</v>
      </c>
      <c r="I24" s="4">
        <v>30904</v>
      </c>
    </row>
    <row r="25" spans="1:9" x14ac:dyDescent="0.25">
      <c r="A25" s="15" t="s">
        <v>7</v>
      </c>
      <c r="B25" s="4">
        <v>31287</v>
      </c>
      <c r="C25" s="4">
        <v>49915</v>
      </c>
      <c r="D25" s="4">
        <v>26568</v>
      </c>
      <c r="E25" s="4">
        <v>3414</v>
      </c>
      <c r="F25" s="4">
        <v>1329</v>
      </c>
      <c r="G25" s="4">
        <v>1449</v>
      </c>
      <c r="H25" s="4">
        <v>11866</v>
      </c>
      <c r="I25" s="4">
        <v>825</v>
      </c>
    </row>
    <row r="26" spans="1:9" x14ac:dyDescent="0.25">
      <c r="A26" s="16" t="s">
        <v>8</v>
      </c>
      <c r="B26" s="1">
        <f t="shared" ref="B26:H26" si="9">B18+B21</f>
        <v>181835</v>
      </c>
      <c r="C26" s="1">
        <f t="shared" si="9"/>
        <v>185810</v>
      </c>
      <c r="D26" s="1">
        <f t="shared" si="9"/>
        <v>114191</v>
      </c>
      <c r="E26" s="1">
        <f t="shared" si="9"/>
        <v>128702</v>
      </c>
      <c r="F26" s="1">
        <f t="shared" si="9"/>
        <v>186893</v>
      </c>
      <c r="G26" s="1">
        <f t="shared" si="9"/>
        <v>309172</v>
      </c>
      <c r="H26" s="1">
        <f t="shared" si="9"/>
        <v>667472</v>
      </c>
      <c r="I26" s="1">
        <f t="shared" ref="I26" si="10">I18+I21</f>
        <v>680254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selection activeCell="K9" sqref="K9"/>
    </sheetView>
  </sheetViews>
  <sheetFormatPr defaultRowHeight="15" x14ac:dyDescent="0.25"/>
  <cols>
    <col min="1" max="1" width="49.7109375" style="13" customWidth="1"/>
    <col min="2" max="7" width="9.140625" customWidth="1"/>
  </cols>
  <sheetData>
    <row r="1" spans="1:9" x14ac:dyDescent="0.25">
      <c r="A1" s="13" t="s">
        <v>15</v>
      </c>
    </row>
    <row r="3" spans="1:9" x14ac:dyDescent="0.25">
      <c r="B3" s="6">
        <v>40695</v>
      </c>
      <c r="C3" s="6">
        <v>41061</v>
      </c>
      <c r="D3" s="6">
        <v>41426</v>
      </c>
      <c r="E3" s="6">
        <v>41791</v>
      </c>
      <c r="F3" s="6">
        <v>42156</v>
      </c>
      <c r="G3" s="6">
        <v>42522</v>
      </c>
      <c r="H3" s="6">
        <v>42887</v>
      </c>
      <c r="I3" s="6">
        <v>43252</v>
      </c>
    </row>
    <row r="4" spans="1:9" x14ac:dyDescent="0.25">
      <c r="A4" s="15" t="s">
        <v>17</v>
      </c>
      <c r="B4" s="4">
        <v>389</v>
      </c>
      <c r="C4" s="4">
        <v>1600</v>
      </c>
      <c r="D4" s="4">
        <v>327</v>
      </c>
      <c r="E4" s="4">
        <v>533</v>
      </c>
      <c r="F4" s="4">
        <v>1088</v>
      </c>
      <c r="G4" s="4">
        <v>829</v>
      </c>
      <c r="H4" s="4">
        <v>5668</v>
      </c>
      <c r="I4" s="4">
        <v>1632</v>
      </c>
    </row>
    <row r="5" spans="1:9" x14ac:dyDescent="0.25">
      <c r="A5" s="15" t="s">
        <v>294</v>
      </c>
      <c r="B5" s="4">
        <v>5540</v>
      </c>
      <c r="C5" s="4">
        <v>3180</v>
      </c>
      <c r="D5" s="4">
        <v>2211</v>
      </c>
      <c r="E5" s="4">
        <v>4389</v>
      </c>
      <c r="F5" s="4">
        <v>7890</v>
      </c>
      <c r="G5" s="4">
        <v>14106</v>
      </c>
      <c r="H5" s="4">
        <v>2934</v>
      </c>
      <c r="I5" s="4">
        <v>46861</v>
      </c>
    </row>
    <row r="6" spans="1:9" x14ac:dyDescent="0.25">
      <c r="A6" s="15" t="s">
        <v>18</v>
      </c>
      <c r="B6" s="10" t="s">
        <v>46</v>
      </c>
      <c r="C6" s="4">
        <v>1270</v>
      </c>
      <c r="D6" s="4">
        <v>3070</v>
      </c>
      <c r="E6" s="4">
        <v>1418</v>
      </c>
      <c r="F6" s="4">
        <v>3828</v>
      </c>
      <c r="G6" s="4">
        <v>6577</v>
      </c>
      <c r="H6" s="4">
        <v>494</v>
      </c>
      <c r="I6" s="4">
        <v>3553</v>
      </c>
    </row>
    <row r="7" spans="1:9" x14ac:dyDescent="0.25">
      <c r="A7" s="15" t="s">
        <v>295</v>
      </c>
      <c r="B7" s="4">
        <v>5515</v>
      </c>
      <c r="C7" s="4">
        <v>1935</v>
      </c>
      <c r="D7" s="4">
        <v>1266</v>
      </c>
      <c r="E7" s="4">
        <v>2681</v>
      </c>
      <c r="F7" s="4">
        <v>5463</v>
      </c>
      <c r="G7" s="4">
        <v>4805</v>
      </c>
      <c r="H7" s="4">
        <v>3944</v>
      </c>
      <c r="I7" s="4">
        <v>10859</v>
      </c>
    </row>
    <row r="8" spans="1:9" x14ac:dyDescent="0.25">
      <c r="A8" s="15" t="s">
        <v>293</v>
      </c>
      <c r="B8" s="4">
        <v>336</v>
      </c>
      <c r="C8" s="10" t="s">
        <v>46</v>
      </c>
      <c r="D8" s="10" t="s">
        <v>46</v>
      </c>
      <c r="E8" s="10" t="s">
        <v>46</v>
      </c>
      <c r="F8" s="10" t="s">
        <v>46</v>
      </c>
      <c r="G8" s="10" t="s">
        <v>46</v>
      </c>
      <c r="H8" s="10" t="s">
        <v>46</v>
      </c>
      <c r="I8" s="10" t="s">
        <v>46</v>
      </c>
    </row>
    <row r="9" spans="1:9" x14ac:dyDescent="0.25">
      <c r="A9" s="15" t="s">
        <v>296</v>
      </c>
      <c r="B9" s="4">
        <v>3527</v>
      </c>
      <c r="C9" s="10" t="s">
        <v>46</v>
      </c>
      <c r="D9" s="10" t="s">
        <v>46</v>
      </c>
      <c r="E9" s="10" t="s">
        <v>46</v>
      </c>
      <c r="F9" s="10" t="s">
        <v>46</v>
      </c>
      <c r="G9" s="10" t="s">
        <v>46</v>
      </c>
      <c r="H9" s="10" t="s">
        <v>46</v>
      </c>
      <c r="I9" s="10" t="s">
        <v>46</v>
      </c>
    </row>
    <row r="10" spans="1:9" x14ac:dyDescent="0.25">
      <c r="A10" s="16" t="s">
        <v>8</v>
      </c>
      <c r="B10" s="1">
        <f>SUM(B4:B9)</f>
        <v>15307</v>
      </c>
      <c r="C10" s="1">
        <f t="shared" ref="C10:G10" si="0">SUM(C4:C9)</f>
        <v>7985</v>
      </c>
      <c r="D10" s="1">
        <f t="shared" si="0"/>
        <v>6874</v>
      </c>
      <c r="E10" s="1">
        <f t="shared" si="0"/>
        <v>9021</v>
      </c>
      <c r="F10" s="1">
        <f t="shared" si="0"/>
        <v>18269</v>
      </c>
      <c r="G10" s="1">
        <f t="shared" si="0"/>
        <v>26317</v>
      </c>
      <c r="H10" s="1">
        <f>SUM(H4:H9)</f>
        <v>13040</v>
      </c>
      <c r="I10" s="1">
        <f t="shared" ref="I10" si="1">SUM(I4:I9)</f>
        <v>62905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80" zoomScaleNormal="80" workbookViewId="0">
      <selection activeCell="L34" sqref="L34"/>
    </sheetView>
  </sheetViews>
  <sheetFormatPr defaultRowHeight="15" x14ac:dyDescent="0.25"/>
  <cols>
    <col min="1" max="1" width="48.5703125" style="13" bestFit="1" customWidth="1"/>
    <col min="2" max="2" width="10.28515625" customWidth="1"/>
    <col min="3" max="3" width="9.140625" customWidth="1"/>
    <col min="4" max="7" width="9.7109375" customWidth="1"/>
    <col min="12" max="12" width="29.42578125" bestFit="1" customWidth="1"/>
  </cols>
  <sheetData>
    <row r="1" spans="1:9" x14ac:dyDescent="0.25">
      <c r="A1" s="13" t="s">
        <v>19</v>
      </c>
    </row>
    <row r="2" spans="1:9" x14ac:dyDescent="0.25">
      <c r="A2" s="13" t="s">
        <v>20</v>
      </c>
    </row>
    <row r="3" spans="1:9" x14ac:dyDescent="0.25">
      <c r="A3" s="13" t="s">
        <v>9</v>
      </c>
    </row>
    <row r="4" spans="1:9" x14ac:dyDescent="0.25"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9" s="12" customFormat="1" x14ac:dyDescent="0.25">
      <c r="A5" s="18" t="s">
        <v>21</v>
      </c>
      <c r="B5" s="20">
        <f>SUM(B6:B7)</f>
        <v>1135349</v>
      </c>
      <c r="C5" s="20">
        <f t="shared" ref="C5:H5" si="0">SUM(C6:C7)</f>
        <v>930592</v>
      </c>
      <c r="D5" s="20">
        <f t="shared" si="0"/>
        <v>758947</v>
      </c>
      <c r="E5" s="20">
        <f t="shared" si="0"/>
        <v>125793</v>
      </c>
      <c r="F5" s="20">
        <f t="shared" si="0"/>
        <v>96249</v>
      </c>
      <c r="G5" s="20">
        <f t="shared" si="0"/>
        <v>79791</v>
      </c>
      <c r="H5" s="20">
        <f t="shared" si="0"/>
        <v>95619</v>
      </c>
      <c r="I5" s="20">
        <f t="shared" ref="I5" si="1">SUM(I6:I7)</f>
        <v>129661</v>
      </c>
    </row>
    <row r="6" spans="1:9" x14ac:dyDescent="0.25">
      <c r="A6" s="15" t="s">
        <v>23</v>
      </c>
      <c r="B6" s="4">
        <f>B22</f>
        <v>1133779</v>
      </c>
      <c r="C6" s="4">
        <f t="shared" ref="C6:E6" si="2">C22</f>
        <v>928750</v>
      </c>
      <c r="D6" s="4">
        <f>D22</f>
        <v>756860</v>
      </c>
      <c r="E6" s="4">
        <f t="shared" si="2"/>
        <v>123382</v>
      </c>
      <c r="F6" s="4">
        <f>F22</f>
        <v>93384</v>
      </c>
      <c r="G6" s="4">
        <f t="shared" ref="G6" si="3">G22</f>
        <v>76305</v>
      </c>
      <c r="H6" s="4">
        <f>H22</f>
        <v>91505</v>
      </c>
      <c r="I6" s="4">
        <f>I22</f>
        <v>126609</v>
      </c>
    </row>
    <row r="7" spans="1:9" x14ac:dyDescent="0.25">
      <c r="A7" s="15" t="s">
        <v>24</v>
      </c>
      <c r="B7" s="4">
        <f>B17</f>
        <v>1570</v>
      </c>
      <c r="C7" s="4">
        <f t="shared" ref="C7:E7" si="4">C17</f>
        <v>1842</v>
      </c>
      <c r="D7" s="4">
        <f>D17</f>
        <v>2087</v>
      </c>
      <c r="E7" s="4">
        <f t="shared" si="4"/>
        <v>2411</v>
      </c>
      <c r="F7" s="4">
        <f>F17</f>
        <v>2865</v>
      </c>
      <c r="G7" s="4">
        <f t="shared" ref="G7" si="5">G17</f>
        <v>3486</v>
      </c>
      <c r="H7" s="4">
        <f>H17</f>
        <v>4114</v>
      </c>
      <c r="I7" s="4">
        <f>I17</f>
        <v>3052</v>
      </c>
    </row>
    <row r="8" spans="1:9" s="12" customFormat="1" x14ac:dyDescent="0.25">
      <c r="A8" s="21" t="s">
        <v>22</v>
      </c>
      <c r="B8" s="22">
        <f t="shared" ref="B8:H8" si="6">SUM(B9:B10)</f>
        <v>78</v>
      </c>
      <c r="C8" s="22">
        <f t="shared" si="6"/>
        <v>83</v>
      </c>
      <c r="D8" s="22">
        <f t="shared" si="6"/>
        <v>88</v>
      </c>
      <c r="E8" s="22">
        <f t="shared" si="6"/>
        <v>93</v>
      </c>
      <c r="F8" s="22">
        <f t="shared" si="6"/>
        <v>98</v>
      </c>
      <c r="G8" s="22">
        <f t="shared" si="6"/>
        <v>111</v>
      </c>
      <c r="H8" s="22">
        <f t="shared" si="6"/>
        <v>110</v>
      </c>
      <c r="I8" s="22">
        <f t="shared" ref="I8" si="7">SUM(I9:I10)</f>
        <v>117</v>
      </c>
    </row>
    <row r="9" spans="1:9" x14ac:dyDescent="0.25">
      <c r="A9" s="15" t="s">
        <v>25</v>
      </c>
      <c r="B9" s="4">
        <v>78</v>
      </c>
      <c r="C9" s="4">
        <v>83</v>
      </c>
      <c r="D9" s="4">
        <v>88</v>
      </c>
      <c r="E9" s="4">
        <v>93</v>
      </c>
      <c r="F9" s="4">
        <v>98</v>
      </c>
      <c r="G9" s="4">
        <v>111</v>
      </c>
      <c r="H9" s="4">
        <v>110</v>
      </c>
      <c r="I9" s="4">
        <v>117</v>
      </c>
    </row>
    <row r="10" spans="1:9" x14ac:dyDescent="0.25">
      <c r="A10" s="15" t="s">
        <v>309</v>
      </c>
      <c r="B10" s="10" t="s">
        <v>46</v>
      </c>
      <c r="C10" s="10" t="s">
        <v>46</v>
      </c>
      <c r="D10" s="10" t="s">
        <v>46</v>
      </c>
      <c r="E10" s="10" t="s">
        <v>46</v>
      </c>
      <c r="F10" s="10" t="s">
        <v>46</v>
      </c>
      <c r="G10" s="10" t="s">
        <v>46</v>
      </c>
      <c r="H10" s="10" t="s">
        <v>46</v>
      </c>
      <c r="I10" s="10" t="s">
        <v>46</v>
      </c>
    </row>
    <row r="11" spans="1:9" x14ac:dyDescent="0.25">
      <c r="A11" s="16" t="s">
        <v>8</v>
      </c>
      <c r="B11" s="1">
        <f t="shared" ref="B11:H11" si="8">B5+B8</f>
        <v>1135427</v>
      </c>
      <c r="C11" s="1">
        <f t="shared" si="8"/>
        <v>930675</v>
      </c>
      <c r="D11" s="1">
        <f t="shared" si="8"/>
        <v>759035</v>
      </c>
      <c r="E11" s="1">
        <f t="shared" si="8"/>
        <v>125886</v>
      </c>
      <c r="F11" s="1">
        <f t="shared" si="8"/>
        <v>96347</v>
      </c>
      <c r="G11" s="1">
        <f t="shared" si="8"/>
        <v>79902</v>
      </c>
      <c r="H11" s="1">
        <f t="shared" si="8"/>
        <v>95729</v>
      </c>
      <c r="I11" s="1">
        <f t="shared" ref="I11" si="9">I5+I8</f>
        <v>129778</v>
      </c>
    </row>
    <row r="13" spans="1:9" x14ac:dyDescent="0.25">
      <c r="A13" s="13" t="s">
        <v>26</v>
      </c>
    </row>
    <row r="14" spans="1:9" x14ac:dyDescent="0.25">
      <c r="A14" s="13" t="s">
        <v>9</v>
      </c>
    </row>
    <row r="15" spans="1:9" x14ac:dyDescent="0.25">
      <c r="B15" s="6">
        <v>40695</v>
      </c>
      <c r="C15" s="6">
        <v>41061</v>
      </c>
      <c r="D15" s="6">
        <v>41426</v>
      </c>
      <c r="E15" s="6">
        <v>41791</v>
      </c>
      <c r="F15" s="6">
        <v>42156</v>
      </c>
      <c r="G15" s="6">
        <v>42522</v>
      </c>
      <c r="H15" s="6">
        <v>42887</v>
      </c>
      <c r="I15" s="6">
        <v>43252</v>
      </c>
    </row>
    <row r="16" spans="1:9" x14ac:dyDescent="0.25">
      <c r="A16" s="15" t="s">
        <v>27</v>
      </c>
      <c r="B16" s="4">
        <v>1570</v>
      </c>
      <c r="C16" s="4">
        <v>1842</v>
      </c>
      <c r="D16" s="4">
        <v>2087</v>
      </c>
      <c r="E16" s="4">
        <v>2411</v>
      </c>
      <c r="F16" s="4">
        <v>2865</v>
      </c>
      <c r="G16" s="4">
        <v>3486</v>
      </c>
      <c r="H16" s="4">
        <v>4114</v>
      </c>
      <c r="I16" s="4">
        <v>3052</v>
      </c>
    </row>
    <row r="17" spans="1:16" x14ac:dyDescent="0.25">
      <c r="A17" s="16" t="s">
        <v>8</v>
      </c>
      <c r="B17" s="1">
        <f t="shared" ref="B17:H17" si="10">SUM(B16:B16)</f>
        <v>1570</v>
      </c>
      <c r="C17" s="1">
        <f t="shared" si="10"/>
        <v>1842</v>
      </c>
      <c r="D17" s="1">
        <f t="shared" si="10"/>
        <v>2087</v>
      </c>
      <c r="E17" s="1">
        <f t="shared" si="10"/>
        <v>2411</v>
      </c>
      <c r="F17" s="1">
        <f t="shared" si="10"/>
        <v>2865</v>
      </c>
      <c r="G17" s="1">
        <f t="shared" si="10"/>
        <v>3486</v>
      </c>
      <c r="H17" s="1">
        <f t="shared" si="10"/>
        <v>4114</v>
      </c>
      <c r="I17" s="1">
        <f t="shared" ref="I17" si="11">SUM(I16:I16)</f>
        <v>3052</v>
      </c>
    </row>
    <row r="19" spans="1:16" x14ac:dyDescent="0.25">
      <c r="A19" s="13" t="s">
        <v>28</v>
      </c>
    </row>
    <row r="20" spans="1:16" x14ac:dyDescent="0.25">
      <c r="A20" s="13" t="s">
        <v>9</v>
      </c>
    </row>
    <row r="21" spans="1:16" x14ac:dyDescent="0.25">
      <c r="B21" s="8">
        <v>40695</v>
      </c>
      <c r="C21" s="8">
        <v>41061</v>
      </c>
      <c r="D21" s="8">
        <v>41426</v>
      </c>
      <c r="E21" s="8">
        <v>41791</v>
      </c>
      <c r="F21" s="8">
        <v>42156</v>
      </c>
      <c r="G21" s="8">
        <v>42522</v>
      </c>
      <c r="H21" s="8">
        <v>42887</v>
      </c>
      <c r="I21" s="8">
        <v>43252</v>
      </c>
    </row>
    <row r="22" spans="1:16" s="12" customFormat="1" x14ac:dyDescent="0.25">
      <c r="A22" s="18" t="s">
        <v>23</v>
      </c>
      <c r="B22" s="20">
        <f t="shared" ref="B22:G22" si="12">SUM(B23:B57)</f>
        <v>1133779</v>
      </c>
      <c r="C22" s="20">
        <f t="shared" si="12"/>
        <v>928750</v>
      </c>
      <c r="D22" s="20">
        <f t="shared" si="12"/>
        <v>756860</v>
      </c>
      <c r="E22" s="20">
        <f t="shared" si="12"/>
        <v>123382</v>
      </c>
      <c r="F22" s="20">
        <f t="shared" si="12"/>
        <v>93384</v>
      </c>
      <c r="G22" s="20">
        <f t="shared" si="12"/>
        <v>76305</v>
      </c>
      <c r="H22" s="20">
        <f>SUM(H23:H57)</f>
        <v>91505</v>
      </c>
      <c r="I22" s="20">
        <f>SUM(I23:I57)</f>
        <v>126609</v>
      </c>
      <c r="K22"/>
      <c r="L22"/>
      <c r="M22"/>
      <c r="N22"/>
      <c r="O22"/>
      <c r="P22"/>
    </row>
    <row r="23" spans="1:16" x14ac:dyDescent="0.25">
      <c r="A23" s="15" t="s">
        <v>267</v>
      </c>
      <c r="B23" s="10" t="s">
        <v>46</v>
      </c>
      <c r="C23" s="10" t="s">
        <v>46</v>
      </c>
      <c r="D23" s="10" t="s">
        <v>46</v>
      </c>
      <c r="E23" s="10" t="s">
        <v>46</v>
      </c>
      <c r="F23" s="10" t="s">
        <v>46</v>
      </c>
      <c r="G23" s="10" t="s">
        <v>46</v>
      </c>
      <c r="H23" s="10" t="s">
        <v>46</v>
      </c>
      <c r="I23" s="10" t="s">
        <v>46</v>
      </c>
    </row>
    <row r="24" spans="1:16" ht="15" customHeight="1" x14ac:dyDescent="0.25">
      <c r="A24" s="15" t="s">
        <v>297</v>
      </c>
      <c r="B24" s="10">
        <f>2142+9981</f>
        <v>12123</v>
      </c>
      <c r="C24" s="10" t="s">
        <v>46</v>
      </c>
      <c r="D24" s="10" t="s">
        <v>46</v>
      </c>
      <c r="E24" s="10" t="s">
        <v>46</v>
      </c>
      <c r="F24" s="10" t="s">
        <v>46</v>
      </c>
      <c r="G24" s="10" t="s">
        <v>46</v>
      </c>
      <c r="H24" s="10" t="s">
        <v>46</v>
      </c>
      <c r="I24" s="10" t="s">
        <v>46</v>
      </c>
    </row>
    <row r="25" spans="1:16" ht="15" customHeight="1" x14ac:dyDescent="0.25">
      <c r="A25" s="15" t="s">
        <v>29</v>
      </c>
      <c r="B25" s="10" t="s">
        <v>46</v>
      </c>
      <c r="C25" s="10" t="s">
        <v>46</v>
      </c>
      <c r="D25" s="10" t="s">
        <v>46</v>
      </c>
      <c r="E25" s="10" t="s">
        <v>46</v>
      </c>
      <c r="F25" s="10" t="s">
        <v>46</v>
      </c>
      <c r="G25" s="10" t="s">
        <v>46</v>
      </c>
      <c r="H25" s="10" t="s">
        <v>46</v>
      </c>
      <c r="I25" s="10" t="s">
        <v>46</v>
      </c>
    </row>
    <row r="26" spans="1:16" ht="15" customHeight="1" x14ac:dyDescent="0.25">
      <c r="A26" s="15" t="s">
        <v>298</v>
      </c>
      <c r="B26" s="10">
        <v>84275</v>
      </c>
      <c r="C26" s="10" t="s">
        <v>46</v>
      </c>
      <c r="D26" s="10" t="s">
        <v>46</v>
      </c>
      <c r="E26" s="10" t="s">
        <v>46</v>
      </c>
      <c r="F26" s="10" t="s">
        <v>46</v>
      </c>
      <c r="G26" s="10" t="s">
        <v>46</v>
      </c>
      <c r="H26" s="10" t="s">
        <v>46</v>
      </c>
      <c r="I26" s="10" t="s">
        <v>46</v>
      </c>
    </row>
    <row r="27" spans="1:16" ht="15.75" customHeight="1" x14ac:dyDescent="0.25">
      <c r="A27" s="15" t="s">
        <v>273</v>
      </c>
      <c r="B27" s="10">
        <v>30587</v>
      </c>
      <c r="C27" s="10">
        <v>45323</v>
      </c>
      <c r="D27" s="10">
        <v>24017</v>
      </c>
      <c r="E27" s="10" t="s">
        <v>46</v>
      </c>
      <c r="F27" s="10" t="s">
        <v>46</v>
      </c>
      <c r="G27" s="10" t="s">
        <v>46</v>
      </c>
      <c r="H27" s="10" t="s">
        <v>46</v>
      </c>
      <c r="I27" s="10" t="s">
        <v>46</v>
      </c>
    </row>
    <row r="28" spans="1:16" x14ac:dyDescent="0.25">
      <c r="A28" s="15" t="s">
        <v>30</v>
      </c>
      <c r="B28" s="10" t="s">
        <v>46</v>
      </c>
      <c r="C28" s="10" t="s">
        <v>46</v>
      </c>
      <c r="D28" s="10" t="s">
        <v>46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</row>
    <row r="29" spans="1:16" x14ac:dyDescent="0.25">
      <c r="A29" s="15" t="s">
        <v>265</v>
      </c>
      <c r="B29" s="10">
        <v>53609</v>
      </c>
      <c r="C29" s="10">
        <v>56733</v>
      </c>
      <c r="D29" s="10">
        <v>35555</v>
      </c>
      <c r="E29" s="10">
        <v>11236</v>
      </c>
      <c r="F29" s="10" t="s">
        <v>46</v>
      </c>
      <c r="G29" s="10" t="s">
        <v>46</v>
      </c>
      <c r="H29" s="10" t="s">
        <v>46</v>
      </c>
      <c r="I29" s="10" t="s">
        <v>46</v>
      </c>
    </row>
    <row r="30" spans="1:16" ht="15.75" customHeight="1" x14ac:dyDescent="0.25">
      <c r="A30" s="15" t="s">
        <v>266</v>
      </c>
      <c r="B30" s="10">
        <v>37217</v>
      </c>
      <c r="C30" s="10">
        <v>20744</v>
      </c>
      <c r="D30" s="10">
        <v>8286</v>
      </c>
      <c r="E30" s="10">
        <v>4906</v>
      </c>
      <c r="F30" s="10" t="s">
        <v>46</v>
      </c>
      <c r="G30" s="10" t="s">
        <v>46</v>
      </c>
      <c r="H30" s="10" t="s">
        <v>46</v>
      </c>
      <c r="I30" s="10" t="s">
        <v>46</v>
      </c>
    </row>
    <row r="31" spans="1:16" x14ac:dyDescent="0.25">
      <c r="A31" s="15" t="s">
        <v>300</v>
      </c>
      <c r="B31" s="10">
        <v>90</v>
      </c>
      <c r="C31" s="10" t="s">
        <v>46</v>
      </c>
      <c r="D31" s="10" t="s">
        <v>46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</row>
    <row r="32" spans="1:16" x14ac:dyDescent="0.25">
      <c r="A32" s="15" t="s">
        <v>288</v>
      </c>
      <c r="B32" s="10">
        <v>56760</v>
      </c>
      <c r="C32" s="10" t="s">
        <v>46</v>
      </c>
      <c r="D32" s="10" t="s">
        <v>46</v>
      </c>
      <c r="E32" s="10" t="s">
        <v>46</v>
      </c>
      <c r="F32" s="10" t="s">
        <v>46</v>
      </c>
      <c r="G32" s="10" t="s">
        <v>46</v>
      </c>
      <c r="H32" s="10" t="s">
        <v>46</v>
      </c>
      <c r="I32" s="10" t="s">
        <v>46</v>
      </c>
    </row>
    <row r="33" spans="1:9" x14ac:dyDescent="0.25">
      <c r="A33" s="15" t="s">
        <v>274</v>
      </c>
      <c r="B33" s="10">
        <v>114987</v>
      </c>
      <c r="C33" s="10">
        <v>123420</v>
      </c>
      <c r="D33" s="10">
        <v>89554</v>
      </c>
      <c r="E33" s="10" t="s">
        <v>46</v>
      </c>
      <c r="F33" s="10" t="s">
        <v>46</v>
      </c>
      <c r="G33" s="10" t="s">
        <v>46</v>
      </c>
      <c r="H33" s="10" t="s">
        <v>46</v>
      </c>
      <c r="I33" s="10" t="s">
        <v>46</v>
      </c>
    </row>
    <row r="34" spans="1:9" x14ac:dyDescent="0.25">
      <c r="A34" s="15" t="s">
        <v>299</v>
      </c>
      <c r="B34" s="10">
        <v>1498</v>
      </c>
      <c r="C34" s="10" t="s">
        <v>46</v>
      </c>
      <c r="D34" s="10" t="s">
        <v>46</v>
      </c>
      <c r="E34" s="10" t="s">
        <v>46</v>
      </c>
      <c r="F34" s="10" t="s">
        <v>46</v>
      </c>
      <c r="G34" s="10" t="s">
        <v>46</v>
      </c>
      <c r="H34" s="10" t="s">
        <v>46</v>
      </c>
      <c r="I34" s="10" t="s">
        <v>46</v>
      </c>
    </row>
    <row r="35" spans="1:9" x14ac:dyDescent="0.25">
      <c r="A35" s="15" t="s">
        <v>275</v>
      </c>
      <c r="B35" s="10">
        <v>144690</v>
      </c>
      <c r="C35" s="10">
        <v>113560</v>
      </c>
      <c r="D35" s="10">
        <v>124807</v>
      </c>
      <c r="E35" s="10" t="s">
        <v>46</v>
      </c>
      <c r="F35" s="10" t="s">
        <v>46</v>
      </c>
      <c r="G35" s="10" t="s">
        <v>46</v>
      </c>
      <c r="H35" s="10" t="s">
        <v>46</v>
      </c>
      <c r="I35" s="10" t="s">
        <v>46</v>
      </c>
    </row>
    <row r="36" spans="1:9" ht="15.75" customHeight="1" x14ac:dyDescent="0.25">
      <c r="A36" s="15" t="s">
        <v>276</v>
      </c>
      <c r="B36" s="10">
        <v>1930</v>
      </c>
      <c r="C36" s="10">
        <v>2395</v>
      </c>
      <c r="D36" s="10">
        <v>2040</v>
      </c>
      <c r="E36" s="10" t="s">
        <v>46</v>
      </c>
      <c r="F36" s="10" t="s">
        <v>46</v>
      </c>
      <c r="G36" s="10" t="s">
        <v>46</v>
      </c>
      <c r="H36" s="10" t="s">
        <v>46</v>
      </c>
      <c r="I36" s="10" t="s">
        <v>46</v>
      </c>
    </row>
    <row r="37" spans="1:9" x14ac:dyDescent="0.25">
      <c r="A37" s="15" t="s">
        <v>31</v>
      </c>
      <c r="B37" s="10" t="s">
        <v>46</v>
      </c>
      <c r="C37" s="10" t="s">
        <v>46</v>
      </c>
      <c r="D37" s="10" t="s">
        <v>46</v>
      </c>
      <c r="E37" s="10" t="s">
        <v>46</v>
      </c>
      <c r="F37" s="10" t="s">
        <v>46</v>
      </c>
      <c r="G37" s="10" t="s">
        <v>46</v>
      </c>
      <c r="H37" s="10" t="s">
        <v>46</v>
      </c>
      <c r="I37" s="10" t="s">
        <v>46</v>
      </c>
    </row>
    <row r="38" spans="1:9" x14ac:dyDescent="0.25">
      <c r="A38" s="15" t="s">
        <v>32</v>
      </c>
      <c r="B38" s="10" t="s">
        <v>46</v>
      </c>
      <c r="C38" s="10" t="s">
        <v>46</v>
      </c>
      <c r="D38" s="10" t="s">
        <v>46</v>
      </c>
      <c r="E38" s="10" t="s">
        <v>46</v>
      </c>
      <c r="F38" s="10" t="s">
        <v>46</v>
      </c>
      <c r="G38" s="10" t="s">
        <v>46</v>
      </c>
      <c r="H38" s="10" t="s">
        <v>46</v>
      </c>
      <c r="I38" s="10" t="s">
        <v>46</v>
      </c>
    </row>
    <row r="39" spans="1:9" x14ac:dyDescent="0.25">
      <c r="A39" s="15" t="s">
        <v>33</v>
      </c>
      <c r="B39" s="10" t="s">
        <v>46</v>
      </c>
      <c r="C39" s="10" t="s">
        <v>46</v>
      </c>
      <c r="D39" s="10" t="s">
        <v>46</v>
      </c>
      <c r="E39" s="10" t="s">
        <v>46</v>
      </c>
      <c r="F39" s="10" t="s">
        <v>46</v>
      </c>
      <c r="G39" s="10" t="s">
        <v>46</v>
      </c>
      <c r="H39" s="10" t="s">
        <v>46</v>
      </c>
      <c r="I39" s="10" t="s">
        <v>46</v>
      </c>
    </row>
    <row r="40" spans="1:9" x14ac:dyDescent="0.25">
      <c r="A40" s="15" t="s">
        <v>34</v>
      </c>
      <c r="B40" s="10" t="s">
        <v>46</v>
      </c>
      <c r="C40" s="10" t="s">
        <v>46</v>
      </c>
      <c r="D40" s="10" t="s">
        <v>46</v>
      </c>
      <c r="E40" s="10" t="s">
        <v>46</v>
      </c>
      <c r="F40" s="10" t="s">
        <v>46</v>
      </c>
      <c r="G40" s="10" t="s">
        <v>46</v>
      </c>
      <c r="H40" s="10" t="s">
        <v>46</v>
      </c>
      <c r="I40" s="10" t="s">
        <v>46</v>
      </c>
    </row>
    <row r="41" spans="1:9" x14ac:dyDescent="0.25">
      <c r="A41" s="15" t="s">
        <v>277</v>
      </c>
      <c r="B41" s="10">
        <f>23712+105006</f>
        <v>128718</v>
      </c>
      <c r="C41" s="10">
        <f>23231+115049</f>
        <v>138280</v>
      </c>
      <c r="D41" s="10">
        <f>16562+83763</f>
        <v>100325</v>
      </c>
      <c r="E41" s="10"/>
      <c r="F41" s="10"/>
      <c r="G41" s="10"/>
      <c r="H41" s="10"/>
      <c r="I41" s="10"/>
    </row>
    <row r="42" spans="1:9" x14ac:dyDescent="0.25">
      <c r="A42" s="15" t="s">
        <v>35</v>
      </c>
      <c r="B42" s="10" t="s">
        <v>46</v>
      </c>
      <c r="C42" s="10" t="s">
        <v>46</v>
      </c>
      <c r="D42" s="10" t="s">
        <v>46</v>
      </c>
      <c r="E42" s="10" t="s">
        <v>46</v>
      </c>
      <c r="F42" s="10" t="s">
        <v>46</v>
      </c>
      <c r="G42" s="10" t="s">
        <v>46</v>
      </c>
      <c r="H42" s="10" t="s">
        <v>46</v>
      </c>
      <c r="I42" s="10" t="s">
        <v>46</v>
      </c>
    </row>
    <row r="43" spans="1:9" x14ac:dyDescent="0.25">
      <c r="A43" s="15" t="s">
        <v>36</v>
      </c>
      <c r="B43" s="10">
        <f>216+12</f>
        <v>228</v>
      </c>
      <c r="C43" s="10" t="s">
        <v>46</v>
      </c>
      <c r="D43" s="10" t="s">
        <v>46</v>
      </c>
      <c r="E43" s="10" t="s">
        <v>46</v>
      </c>
      <c r="F43" s="10" t="s">
        <v>46</v>
      </c>
      <c r="G43" s="10" t="s">
        <v>46</v>
      </c>
      <c r="H43" s="10" t="s">
        <v>46</v>
      </c>
      <c r="I43" s="10" t="s">
        <v>46</v>
      </c>
    </row>
    <row r="44" spans="1:9" x14ac:dyDescent="0.25">
      <c r="A44" s="15" t="s">
        <v>310</v>
      </c>
      <c r="B44" s="10">
        <v>24372</v>
      </c>
      <c r="C44" s="10">
        <f>3047+21901</f>
        <v>24948</v>
      </c>
      <c r="D44" s="10">
        <f>1382+10306</f>
        <v>11688</v>
      </c>
      <c r="E44" s="10" t="s">
        <v>46</v>
      </c>
      <c r="F44" s="10" t="s">
        <v>46</v>
      </c>
      <c r="G44" s="10" t="s">
        <v>46</v>
      </c>
      <c r="H44" s="10" t="s">
        <v>46</v>
      </c>
      <c r="I44" s="10" t="s">
        <v>46</v>
      </c>
    </row>
    <row r="45" spans="1:9" ht="15" customHeight="1" x14ac:dyDescent="0.25">
      <c r="A45" s="15" t="s">
        <v>37</v>
      </c>
      <c r="B45" s="10">
        <v>2853</v>
      </c>
      <c r="C45" s="10">
        <v>1277</v>
      </c>
      <c r="D45" s="10">
        <v>2548</v>
      </c>
      <c r="E45" s="10">
        <v>1693</v>
      </c>
      <c r="F45" s="10">
        <v>2325</v>
      </c>
      <c r="G45" s="10">
        <v>949</v>
      </c>
      <c r="H45" s="10">
        <v>779</v>
      </c>
      <c r="I45" s="10">
        <v>650</v>
      </c>
    </row>
    <row r="46" spans="1:9" ht="15" customHeight="1" x14ac:dyDescent="0.25">
      <c r="A46" s="15" t="s">
        <v>38</v>
      </c>
      <c r="B46" s="10">
        <f>156600+57430</f>
        <v>214030</v>
      </c>
      <c r="C46" s="10">
        <f>112800+44192</f>
        <v>156992</v>
      </c>
      <c r="D46" s="10">
        <v>88440</v>
      </c>
      <c r="E46" s="10">
        <v>96840</v>
      </c>
      <c r="F46" s="10">
        <v>84420</v>
      </c>
      <c r="G46" s="10">
        <v>68700</v>
      </c>
      <c r="H46" s="10">
        <v>79140</v>
      </c>
      <c r="I46" s="10">
        <v>115980</v>
      </c>
    </row>
    <row r="47" spans="1:9" ht="15" customHeight="1" x14ac:dyDescent="0.25">
      <c r="A47" s="15" t="s">
        <v>39</v>
      </c>
      <c r="B47" s="10" t="s">
        <v>46</v>
      </c>
      <c r="C47" s="10" t="s">
        <v>46</v>
      </c>
      <c r="D47" s="10" t="s">
        <v>46</v>
      </c>
      <c r="E47" s="10" t="s">
        <v>46</v>
      </c>
      <c r="F47" s="10" t="s">
        <v>46</v>
      </c>
      <c r="G47" s="10" t="s">
        <v>46</v>
      </c>
      <c r="H47" s="10" t="s">
        <v>46</v>
      </c>
      <c r="I47" s="10" t="s">
        <v>46</v>
      </c>
    </row>
    <row r="48" spans="1:9" x14ac:dyDescent="0.25">
      <c r="A48" s="15" t="s">
        <v>40</v>
      </c>
      <c r="B48" s="10">
        <v>1228</v>
      </c>
      <c r="C48" s="10" t="s">
        <v>46</v>
      </c>
      <c r="D48" s="10" t="s">
        <v>46</v>
      </c>
      <c r="E48" s="10" t="s">
        <v>46</v>
      </c>
      <c r="F48" s="10" t="s">
        <v>46</v>
      </c>
      <c r="G48" s="10" t="s">
        <v>46</v>
      </c>
      <c r="H48" s="10" t="s">
        <v>46</v>
      </c>
      <c r="I48" s="10" t="s">
        <v>46</v>
      </c>
    </row>
    <row r="49" spans="1:16" x14ac:dyDescent="0.25">
      <c r="A49" s="15" t="s">
        <v>41</v>
      </c>
      <c r="B49" s="10">
        <f>2571+665</f>
        <v>3236</v>
      </c>
      <c r="C49" s="10">
        <f>1394+507</f>
        <v>1901</v>
      </c>
      <c r="D49" s="10">
        <f>1146+474</f>
        <v>1620</v>
      </c>
      <c r="E49" s="10">
        <f>1549+369</f>
        <v>1918</v>
      </c>
      <c r="F49" s="10">
        <f>991+301</f>
        <v>1292</v>
      </c>
      <c r="G49" s="11">
        <f>17+7</f>
        <v>24</v>
      </c>
      <c r="H49" s="10">
        <f>620+7</f>
        <v>627</v>
      </c>
      <c r="I49" s="10">
        <v>287</v>
      </c>
    </row>
    <row r="50" spans="1:16" x14ac:dyDescent="0.25">
      <c r="A50" s="15" t="s">
        <v>42</v>
      </c>
      <c r="B50" s="10" t="s">
        <v>46</v>
      </c>
      <c r="C50" s="10" t="s">
        <v>46</v>
      </c>
      <c r="D50" s="10" t="s">
        <v>46</v>
      </c>
      <c r="E50" s="10" t="s">
        <v>46</v>
      </c>
      <c r="F50" s="10" t="s">
        <v>46</v>
      </c>
      <c r="G50" s="10" t="s">
        <v>46</v>
      </c>
      <c r="H50" s="10" t="s">
        <v>46</v>
      </c>
      <c r="I50" s="10" t="s">
        <v>46</v>
      </c>
    </row>
    <row r="51" spans="1:16" x14ac:dyDescent="0.25">
      <c r="A51" s="15" t="s">
        <v>43</v>
      </c>
      <c r="B51" s="10">
        <v>7911</v>
      </c>
      <c r="C51" s="10">
        <v>4520</v>
      </c>
      <c r="D51" s="10">
        <v>9264</v>
      </c>
      <c r="E51" s="10">
        <v>6241</v>
      </c>
      <c r="F51" s="10">
        <v>4933</v>
      </c>
      <c r="G51" s="10">
        <v>6278</v>
      </c>
      <c r="H51" s="10">
        <v>9537</v>
      </c>
      <c r="I51" s="10">
        <v>8071</v>
      </c>
    </row>
    <row r="52" spans="1:16" x14ac:dyDescent="0.25">
      <c r="A52" s="15" t="s">
        <v>279</v>
      </c>
      <c r="B52" s="10">
        <v>2724</v>
      </c>
      <c r="C52" s="10">
        <v>3503</v>
      </c>
      <c r="D52" s="10">
        <v>4604</v>
      </c>
      <c r="E52" s="10"/>
      <c r="F52" s="10"/>
      <c r="G52" s="10"/>
      <c r="H52" s="10"/>
      <c r="I52" s="10"/>
    </row>
    <row r="53" spans="1:16" x14ac:dyDescent="0.25">
      <c r="A53" s="15" t="s">
        <v>44</v>
      </c>
      <c r="B53" s="10" t="s">
        <v>46</v>
      </c>
      <c r="C53" s="10" t="s">
        <v>46</v>
      </c>
      <c r="D53" s="10" t="s">
        <v>46</v>
      </c>
      <c r="E53" s="10" t="s">
        <v>46</v>
      </c>
      <c r="F53" s="10" t="s">
        <v>46</v>
      </c>
      <c r="G53" s="10" t="s">
        <v>46</v>
      </c>
      <c r="H53" s="10" t="s">
        <v>46</v>
      </c>
      <c r="I53" s="10" t="s">
        <v>46</v>
      </c>
    </row>
    <row r="54" spans="1:16" x14ac:dyDescent="0.25">
      <c r="A54" s="15" t="s">
        <v>280</v>
      </c>
      <c r="B54" s="10">
        <v>99288</v>
      </c>
      <c r="C54" s="10">
        <v>162540</v>
      </c>
      <c r="D54" s="10">
        <v>191448</v>
      </c>
      <c r="E54" s="10" t="s">
        <v>46</v>
      </c>
      <c r="F54" s="10" t="s">
        <v>46</v>
      </c>
      <c r="G54" s="10" t="s">
        <v>46</v>
      </c>
      <c r="H54" s="10" t="s">
        <v>46</v>
      </c>
      <c r="I54" s="10" t="s">
        <v>46</v>
      </c>
    </row>
    <row r="55" spans="1:16" x14ac:dyDescent="0.25">
      <c r="A55" s="15" t="s">
        <v>281</v>
      </c>
      <c r="B55" s="10">
        <v>54840</v>
      </c>
      <c r="C55" s="10">
        <v>25280</v>
      </c>
      <c r="D55" s="10">
        <v>30800</v>
      </c>
      <c r="E55" s="10" t="s">
        <v>46</v>
      </c>
      <c r="F55" s="10" t="s">
        <v>46</v>
      </c>
      <c r="G55" s="10" t="s">
        <v>46</v>
      </c>
      <c r="H55" s="10" t="s">
        <v>46</v>
      </c>
      <c r="I55" s="10" t="s">
        <v>46</v>
      </c>
    </row>
    <row r="56" spans="1:16" x14ac:dyDescent="0.25">
      <c r="A56" s="15" t="s">
        <v>282</v>
      </c>
      <c r="B56" s="10">
        <v>51570</v>
      </c>
      <c r="C56" s="10">
        <v>45266</v>
      </c>
      <c r="D56" s="10">
        <v>31037</v>
      </c>
      <c r="E56" s="10" t="s">
        <v>46</v>
      </c>
      <c r="F56" s="10" t="s">
        <v>46</v>
      </c>
      <c r="G56" s="10" t="s">
        <v>46</v>
      </c>
      <c r="H56" s="10" t="s">
        <v>46</v>
      </c>
      <c r="I56" s="10" t="s">
        <v>46</v>
      </c>
    </row>
    <row r="57" spans="1:16" x14ac:dyDescent="0.25">
      <c r="A57" s="15" t="s">
        <v>45</v>
      </c>
      <c r="B57" s="10">
        <v>5015</v>
      </c>
      <c r="C57" s="10">
        <v>2068</v>
      </c>
      <c r="D57" s="10">
        <v>827</v>
      </c>
      <c r="E57" s="10">
        <v>548</v>
      </c>
      <c r="F57" s="10">
        <v>414</v>
      </c>
      <c r="G57" s="10">
        <v>354</v>
      </c>
      <c r="H57" s="10">
        <v>1422</v>
      </c>
      <c r="I57" s="10">
        <v>1621</v>
      </c>
    </row>
    <row r="58" spans="1:16" x14ac:dyDescent="0.25">
      <c r="A58" s="16" t="s">
        <v>8</v>
      </c>
      <c r="B58" s="1">
        <f t="shared" ref="B58:H58" si="13">B22</f>
        <v>1133779</v>
      </c>
      <c r="C58" s="1">
        <f t="shared" si="13"/>
        <v>928750</v>
      </c>
      <c r="D58" s="1">
        <f t="shared" si="13"/>
        <v>756860</v>
      </c>
      <c r="E58" s="1">
        <f t="shared" si="13"/>
        <v>123382</v>
      </c>
      <c r="F58" s="1">
        <f t="shared" si="13"/>
        <v>93384</v>
      </c>
      <c r="G58" s="1">
        <f t="shared" si="13"/>
        <v>76305</v>
      </c>
      <c r="H58" s="1">
        <f t="shared" si="13"/>
        <v>91505</v>
      </c>
      <c r="I58" s="1">
        <f t="shared" ref="I58" si="14">I22</f>
        <v>126609</v>
      </c>
    </row>
    <row r="60" spans="1:16" s="12" customFormat="1" x14ac:dyDescent="0.25">
      <c r="A60" s="18" t="s">
        <v>285</v>
      </c>
      <c r="B60" s="20">
        <f t="shared" ref="B60:G60" si="15">SUM(B61:B64)</f>
        <v>0</v>
      </c>
      <c r="C60" s="20">
        <f t="shared" si="15"/>
        <v>13991</v>
      </c>
      <c r="D60" s="20">
        <f t="shared" si="15"/>
        <v>778</v>
      </c>
      <c r="E60" s="20">
        <f t="shared" si="15"/>
        <v>0</v>
      </c>
      <c r="F60" s="20">
        <f t="shared" si="15"/>
        <v>0</v>
      </c>
      <c r="G60" s="20">
        <f t="shared" si="15"/>
        <v>0</v>
      </c>
      <c r="H60" s="20">
        <f>SUM(H61:H64)</f>
        <v>0</v>
      </c>
      <c r="I60" s="20">
        <f>SUM(I61:I64)</f>
        <v>0</v>
      </c>
      <c r="K60"/>
      <c r="L60"/>
      <c r="M60"/>
      <c r="N60"/>
      <c r="O60"/>
      <c r="P60"/>
    </row>
    <row r="61" spans="1:16" x14ac:dyDescent="0.25">
      <c r="A61" s="15" t="s">
        <v>273</v>
      </c>
      <c r="B61" s="10" t="s">
        <v>46</v>
      </c>
      <c r="C61" s="10" t="s">
        <v>46</v>
      </c>
      <c r="D61" s="10">
        <v>778</v>
      </c>
      <c r="E61" s="10" t="s">
        <v>46</v>
      </c>
      <c r="F61" s="10" t="s">
        <v>46</v>
      </c>
      <c r="G61" s="10" t="s">
        <v>46</v>
      </c>
      <c r="H61" s="10" t="s">
        <v>46</v>
      </c>
      <c r="I61" s="10" t="s">
        <v>46</v>
      </c>
    </row>
    <row r="62" spans="1:16" x14ac:dyDescent="0.25">
      <c r="A62" s="15" t="s">
        <v>275</v>
      </c>
      <c r="B62" s="10" t="s">
        <v>46</v>
      </c>
      <c r="C62" s="23">
        <v>12814</v>
      </c>
      <c r="D62" s="10" t="s">
        <v>46</v>
      </c>
      <c r="E62" s="10" t="s">
        <v>46</v>
      </c>
      <c r="F62" s="10" t="s">
        <v>46</v>
      </c>
      <c r="G62" s="10" t="s">
        <v>46</v>
      </c>
      <c r="H62" s="10" t="s">
        <v>46</v>
      </c>
      <c r="I62" s="10" t="s">
        <v>46</v>
      </c>
    </row>
    <row r="63" spans="1:16" ht="15" customHeight="1" x14ac:dyDescent="0.25">
      <c r="A63" s="19" t="s">
        <v>278</v>
      </c>
      <c r="B63" s="10" t="s">
        <v>46</v>
      </c>
      <c r="C63" s="23">
        <v>1176</v>
      </c>
      <c r="D63" s="10" t="s">
        <v>46</v>
      </c>
      <c r="E63" s="10" t="s">
        <v>46</v>
      </c>
      <c r="F63" s="10" t="s">
        <v>46</v>
      </c>
      <c r="G63" s="10" t="s">
        <v>46</v>
      </c>
      <c r="H63" s="10" t="s">
        <v>46</v>
      </c>
      <c r="I63" s="10" t="s">
        <v>46</v>
      </c>
    </row>
    <row r="64" spans="1:16" ht="15" customHeight="1" x14ac:dyDescent="0.25">
      <c r="A64" s="19" t="s">
        <v>289</v>
      </c>
      <c r="B64" s="10" t="s">
        <v>46</v>
      </c>
      <c r="C64" s="23">
        <v>1</v>
      </c>
      <c r="D64" s="10" t="s">
        <v>46</v>
      </c>
      <c r="E64" s="10" t="s">
        <v>46</v>
      </c>
      <c r="F64" s="10" t="s">
        <v>46</v>
      </c>
      <c r="G64" s="10" t="s">
        <v>46</v>
      </c>
      <c r="H64" s="10" t="s">
        <v>46</v>
      </c>
      <c r="I64" s="10" t="s">
        <v>46</v>
      </c>
    </row>
    <row r="65" spans="1:16" ht="15" customHeight="1" x14ac:dyDescent="0.25">
      <c r="A65" s="16" t="s">
        <v>286</v>
      </c>
      <c r="B65" s="1">
        <f>B60</f>
        <v>0</v>
      </c>
      <c r="C65" s="1">
        <f t="shared" ref="C65" si="16">C60</f>
        <v>13991</v>
      </c>
      <c r="D65" s="1">
        <f>D60</f>
        <v>778</v>
      </c>
      <c r="E65" s="1">
        <f t="shared" ref="E65:G65" si="17">E60</f>
        <v>0</v>
      </c>
      <c r="F65" s="1">
        <f t="shared" si="17"/>
        <v>0</v>
      </c>
      <c r="G65" s="1">
        <f t="shared" si="17"/>
        <v>0</v>
      </c>
      <c r="H65" s="1">
        <f>H60</f>
        <v>0</v>
      </c>
      <c r="I65" s="1">
        <f>I60</f>
        <v>0</v>
      </c>
    </row>
    <row r="68" spans="1:16" x14ac:dyDescent="0.25">
      <c r="A68" s="13" t="s">
        <v>47</v>
      </c>
    </row>
    <row r="69" spans="1:16" x14ac:dyDescent="0.25">
      <c r="A69" s="13" t="s">
        <v>9</v>
      </c>
    </row>
    <row r="70" spans="1:16" x14ac:dyDescent="0.25">
      <c r="B70" s="6">
        <v>40695</v>
      </c>
      <c r="C70" s="6">
        <v>41061</v>
      </c>
      <c r="D70" s="6">
        <v>41426</v>
      </c>
      <c r="E70" s="6">
        <v>41791</v>
      </c>
      <c r="F70" s="6">
        <v>42156</v>
      </c>
      <c r="G70" s="6">
        <v>42522</v>
      </c>
      <c r="H70" s="6">
        <v>42887</v>
      </c>
      <c r="I70" s="6">
        <v>43252</v>
      </c>
    </row>
    <row r="71" spans="1:16" s="12" customFormat="1" ht="15" customHeight="1" x14ac:dyDescent="0.25">
      <c r="A71" s="18" t="s">
        <v>48</v>
      </c>
      <c r="B71" s="20">
        <f t="shared" ref="B71:H71" si="18">SUM(B72:B74)</f>
        <v>405184</v>
      </c>
      <c r="C71" s="20">
        <f t="shared" si="18"/>
        <v>222168</v>
      </c>
      <c r="D71" s="20">
        <f t="shared" si="18"/>
        <v>48276</v>
      </c>
      <c r="E71" s="20">
        <f t="shared" si="18"/>
        <v>619175</v>
      </c>
      <c r="F71" s="20">
        <f t="shared" si="18"/>
        <v>3785</v>
      </c>
      <c r="G71" s="20">
        <f t="shared" si="18"/>
        <v>3886</v>
      </c>
      <c r="H71" s="20">
        <f t="shared" si="18"/>
        <v>18654</v>
      </c>
      <c r="I71" s="20">
        <f t="shared" ref="I71" si="19">SUM(I72:I74)</f>
        <v>38800</v>
      </c>
      <c r="K71"/>
      <c r="L71"/>
      <c r="M71"/>
      <c r="N71"/>
      <c r="O71"/>
      <c r="P71"/>
    </row>
    <row r="72" spans="1:16" ht="15" customHeight="1" x14ac:dyDescent="0.25">
      <c r="A72" s="15" t="s">
        <v>49</v>
      </c>
      <c r="B72" s="4">
        <v>346</v>
      </c>
      <c r="C72" s="4">
        <v>271</v>
      </c>
      <c r="D72" s="4">
        <v>245</v>
      </c>
      <c r="E72" s="4">
        <v>324</v>
      </c>
      <c r="F72" s="4">
        <v>454</v>
      </c>
      <c r="G72" s="4">
        <v>621</v>
      </c>
      <c r="H72" s="4">
        <v>13887</v>
      </c>
      <c r="I72" s="4">
        <v>35104</v>
      </c>
    </row>
    <row r="73" spans="1:16" ht="15" customHeight="1" x14ac:dyDescent="0.25">
      <c r="A73" s="15" t="s">
        <v>51</v>
      </c>
      <c r="B73" s="4">
        <v>364110</v>
      </c>
      <c r="C73" s="4">
        <v>164191</v>
      </c>
      <c r="D73" s="4">
        <v>138</v>
      </c>
      <c r="E73" s="4">
        <v>602891</v>
      </c>
      <c r="F73" s="4">
        <v>1761</v>
      </c>
      <c r="G73" s="4">
        <v>2962</v>
      </c>
      <c r="H73" s="4">
        <v>2505</v>
      </c>
      <c r="I73" s="4">
        <v>3052</v>
      </c>
    </row>
    <row r="74" spans="1:16" x14ac:dyDescent="0.25">
      <c r="A74" s="15" t="s">
        <v>50</v>
      </c>
      <c r="B74" s="4">
        <v>40728</v>
      </c>
      <c r="C74" s="4">
        <v>57706</v>
      </c>
      <c r="D74" s="4">
        <v>47893</v>
      </c>
      <c r="E74" s="4">
        <v>15960</v>
      </c>
      <c r="F74" s="4">
        <v>1570</v>
      </c>
      <c r="G74" s="4">
        <v>303</v>
      </c>
      <c r="H74" s="4">
        <v>2262</v>
      </c>
      <c r="I74" s="4">
        <v>644</v>
      </c>
      <c r="L74" s="12"/>
    </row>
    <row r="75" spans="1:16" s="12" customFormat="1" x14ac:dyDescent="0.25">
      <c r="A75" s="21" t="s">
        <v>52</v>
      </c>
      <c r="B75" s="22">
        <f t="shared" ref="B75:I75" si="20">SUM(B76:B76)</f>
        <v>-470965</v>
      </c>
      <c r="C75" s="22">
        <f t="shared" si="20"/>
        <v>-204186</v>
      </c>
      <c r="D75" s="22">
        <f t="shared" si="20"/>
        <v>-141422</v>
      </c>
      <c r="E75" s="22">
        <f t="shared" si="20"/>
        <v>-499247</v>
      </c>
      <c r="F75" s="22">
        <f t="shared" si="20"/>
        <v>-14370</v>
      </c>
      <c r="G75" s="22">
        <f t="shared" si="20"/>
        <v>-17078</v>
      </c>
      <c r="H75" s="22">
        <f t="shared" si="20"/>
        <v>0</v>
      </c>
      <c r="I75" s="22">
        <f t="shared" si="20"/>
        <v>-1062</v>
      </c>
      <c r="K75"/>
      <c r="L75"/>
      <c r="M75"/>
      <c r="N75"/>
      <c r="O75"/>
      <c r="P75"/>
    </row>
    <row r="76" spans="1:16" x14ac:dyDescent="0.25">
      <c r="A76" s="15" t="s">
        <v>53</v>
      </c>
      <c r="B76" s="10">
        <v>-470965</v>
      </c>
      <c r="C76" s="4">
        <v>-204186</v>
      </c>
      <c r="D76" s="10">
        <f>-123211-18211</f>
        <v>-141422</v>
      </c>
      <c r="E76" s="4">
        <v>-499247</v>
      </c>
      <c r="F76" s="10">
        <f>-8891-5479</f>
        <v>-14370</v>
      </c>
      <c r="G76" s="4">
        <v>-17078</v>
      </c>
      <c r="H76" s="10" t="s">
        <v>46</v>
      </c>
      <c r="I76" s="10">
        <v>-1062</v>
      </c>
    </row>
    <row r="77" spans="1:16" x14ac:dyDescent="0.25">
      <c r="A77" s="16" t="s">
        <v>54</v>
      </c>
      <c r="B77" s="1">
        <f t="shared" ref="B77:H77" si="21">B71+B75</f>
        <v>-65781</v>
      </c>
      <c r="C77" s="1">
        <f t="shared" si="21"/>
        <v>17982</v>
      </c>
      <c r="D77" s="1">
        <f t="shared" si="21"/>
        <v>-93146</v>
      </c>
      <c r="E77" s="1">
        <f t="shared" si="21"/>
        <v>119928</v>
      </c>
      <c r="F77" s="1">
        <f t="shared" si="21"/>
        <v>-10585</v>
      </c>
      <c r="G77" s="1">
        <f t="shared" si="21"/>
        <v>-13192</v>
      </c>
      <c r="H77" s="1">
        <f t="shared" si="21"/>
        <v>18654</v>
      </c>
      <c r="I77" s="1">
        <f t="shared" ref="I77" si="22">I71+I75</f>
        <v>37738</v>
      </c>
    </row>
    <row r="78" spans="1:16" x14ac:dyDescent="0.25">
      <c r="A78"/>
    </row>
    <row r="79" spans="1:16" s="12" customFormat="1" x14ac:dyDescent="0.25">
      <c r="A79" s="18" t="s">
        <v>55</v>
      </c>
      <c r="B79" s="20">
        <f t="shared" ref="B79" si="23">SUM(B80:B81)</f>
        <v>31290</v>
      </c>
      <c r="C79" s="20">
        <f>SUM(C80:C81)</f>
        <v>49915</v>
      </c>
      <c r="D79" s="20">
        <f t="shared" ref="D79:H79" si="24">SUM(D80:D81)</f>
        <v>26568</v>
      </c>
      <c r="E79" s="20">
        <f>SUM(E80:E81)</f>
        <v>11696</v>
      </c>
      <c r="F79" s="20">
        <f t="shared" si="24"/>
        <v>1329</v>
      </c>
      <c r="G79" s="20">
        <f t="shared" si="24"/>
        <v>1449</v>
      </c>
      <c r="H79" s="20">
        <f t="shared" si="24"/>
        <v>11866</v>
      </c>
      <c r="I79" s="20">
        <f t="shared" ref="I79" si="25">SUM(I80:I81)</f>
        <v>825</v>
      </c>
      <c r="K79"/>
      <c r="M79"/>
      <c r="N79"/>
      <c r="O79"/>
      <c r="P79"/>
    </row>
    <row r="80" spans="1:16" x14ac:dyDescent="0.25">
      <c r="A80" s="15" t="s">
        <v>301</v>
      </c>
      <c r="B80" s="10">
        <v>3</v>
      </c>
      <c r="C80" s="10" t="s">
        <v>46</v>
      </c>
      <c r="D80" s="10" t="s">
        <v>46</v>
      </c>
      <c r="E80" s="4">
        <v>8282</v>
      </c>
      <c r="F80" s="10" t="s">
        <v>46</v>
      </c>
      <c r="G80" s="10" t="s">
        <v>46</v>
      </c>
      <c r="H80" s="10" t="s">
        <v>46</v>
      </c>
      <c r="I80" s="10" t="s">
        <v>46</v>
      </c>
    </row>
    <row r="81" spans="1:9" ht="15" customHeight="1" x14ac:dyDescent="0.25">
      <c r="A81" s="15" t="s">
        <v>56</v>
      </c>
      <c r="B81" s="4">
        <v>31287</v>
      </c>
      <c r="C81" s="4">
        <v>49915</v>
      </c>
      <c r="D81" s="4">
        <v>26568</v>
      </c>
      <c r="E81" s="4">
        <v>3414</v>
      </c>
      <c r="F81" s="4">
        <v>1329</v>
      </c>
      <c r="G81" s="4">
        <v>1449</v>
      </c>
      <c r="H81" s="4">
        <v>11866</v>
      </c>
      <c r="I81" s="4">
        <v>825</v>
      </c>
    </row>
    <row r="82" spans="1:9" ht="15.75" customHeight="1" x14ac:dyDescent="0.25">
      <c r="A82" s="16" t="s">
        <v>57</v>
      </c>
      <c r="B82" s="1">
        <f t="shared" ref="B82:H82" si="26">B77+B79</f>
        <v>-34491</v>
      </c>
      <c r="C82" s="1">
        <f t="shared" si="26"/>
        <v>67897</v>
      </c>
      <c r="D82" s="1">
        <f t="shared" si="26"/>
        <v>-66578</v>
      </c>
      <c r="E82" s="1">
        <f t="shared" si="26"/>
        <v>131624</v>
      </c>
      <c r="F82" s="1">
        <f t="shared" si="26"/>
        <v>-9256</v>
      </c>
      <c r="G82" s="1">
        <f t="shared" si="26"/>
        <v>-11743</v>
      </c>
      <c r="H82" s="1">
        <f t="shared" si="26"/>
        <v>30520</v>
      </c>
      <c r="I82" s="1">
        <f t="shared" ref="I82" si="27">I77+I79</f>
        <v>38563</v>
      </c>
    </row>
    <row r="83" spans="1:9" ht="15" customHeight="1" x14ac:dyDescent="0.25"/>
    <row r="84" spans="1:9" ht="15" customHeight="1" x14ac:dyDescent="0.25"/>
    <row r="85" spans="1:9" ht="15" customHeight="1" x14ac:dyDescent="0.25"/>
    <row r="90" spans="1:9" ht="15" customHeight="1" x14ac:dyDescent="0.25"/>
    <row r="91" spans="1:9" ht="15" customHeight="1" x14ac:dyDescent="0.25"/>
    <row r="92" spans="1:9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80" zoomScaleNormal="80" workbookViewId="0">
      <selection activeCell="M13" sqref="M13"/>
    </sheetView>
  </sheetViews>
  <sheetFormatPr defaultRowHeight="15" x14ac:dyDescent="0.25"/>
  <cols>
    <col min="1" max="1" width="62" style="13" customWidth="1"/>
    <col min="2" max="2" width="11.7109375" customWidth="1"/>
    <col min="3" max="3" width="11.5703125" customWidth="1"/>
    <col min="4" max="8" width="10.85546875" bestFit="1" customWidth="1"/>
    <col min="9" max="9" width="11" customWidth="1"/>
    <col min="10" max="10" width="11.42578125" customWidth="1"/>
    <col min="11" max="12" width="10.85546875" bestFit="1" customWidth="1"/>
  </cols>
  <sheetData>
    <row r="1" spans="1:11" x14ac:dyDescent="0.25">
      <c r="A1" s="13" t="s">
        <v>63</v>
      </c>
    </row>
    <row r="2" spans="1:11" x14ac:dyDescent="0.25">
      <c r="A2" s="13" t="s">
        <v>64</v>
      </c>
    </row>
    <row r="3" spans="1:11" x14ac:dyDescent="0.25">
      <c r="A3" s="13" t="s">
        <v>9</v>
      </c>
    </row>
    <row r="4" spans="1:11" x14ac:dyDescent="0.25">
      <c r="B4" s="6">
        <v>39994</v>
      </c>
      <c r="C4" s="6">
        <v>40359</v>
      </c>
      <c r="D4" s="6">
        <v>40724</v>
      </c>
      <c r="E4" s="6">
        <v>41090</v>
      </c>
      <c r="F4" s="6">
        <v>41455</v>
      </c>
      <c r="G4" s="6">
        <v>41820</v>
      </c>
      <c r="H4" s="6">
        <v>42185</v>
      </c>
      <c r="I4" s="6">
        <v>42551</v>
      </c>
      <c r="J4" s="6">
        <v>42916</v>
      </c>
      <c r="K4" s="6">
        <v>43281</v>
      </c>
    </row>
    <row r="5" spans="1:11" s="12" customFormat="1" x14ac:dyDescent="0.25">
      <c r="A5" s="18" t="s">
        <v>65</v>
      </c>
      <c r="B5" s="20">
        <f t="shared" ref="B5:J5" si="0">SUM(B6:B7)</f>
        <v>1105198</v>
      </c>
      <c r="C5" s="20">
        <f t="shared" si="0"/>
        <v>1545506</v>
      </c>
      <c r="D5" s="20">
        <f t="shared" si="0"/>
        <v>1509412</v>
      </c>
      <c r="E5" s="20">
        <f t="shared" si="0"/>
        <v>1455601</v>
      </c>
      <c r="F5" s="20">
        <f t="shared" si="0"/>
        <v>1198781</v>
      </c>
      <c r="G5" s="20">
        <f t="shared" si="0"/>
        <v>1581025</v>
      </c>
      <c r="H5" s="20">
        <f t="shared" si="0"/>
        <v>1431314</v>
      </c>
      <c r="I5" s="20">
        <f t="shared" si="0"/>
        <v>1478962</v>
      </c>
      <c r="J5" s="20">
        <f t="shared" si="0"/>
        <v>1957313</v>
      </c>
      <c r="K5" s="20">
        <f t="shared" ref="K5" si="1">SUM(K6:K7)</f>
        <v>495176</v>
      </c>
    </row>
    <row r="6" spans="1:11" x14ac:dyDescent="0.25">
      <c r="A6" s="15" t="s">
        <v>66</v>
      </c>
      <c r="B6" s="4">
        <v>1098856</v>
      </c>
      <c r="C6" s="4">
        <v>1537155</v>
      </c>
      <c r="D6" s="4">
        <v>1500637</v>
      </c>
      <c r="E6" s="4">
        <v>1448379</v>
      </c>
      <c r="F6" s="4">
        <v>1192630</v>
      </c>
      <c r="G6" s="4">
        <v>1572178</v>
      </c>
      <c r="H6" s="4">
        <v>1421298</v>
      </c>
      <c r="I6" s="4">
        <v>1468657</v>
      </c>
      <c r="J6" s="4">
        <v>1946455</v>
      </c>
      <c r="K6" s="4">
        <v>492547</v>
      </c>
    </row>
    <row r="7" spans="1:11" x14ac:dyDescent="0.25">
      <c r="A7" s="15" t="s">
        <v>67</v>
      </c>
      <c r="B7" s="4">
        <v>6342</v>
      </c>
      <c r="C7" s="4">
        <v>8351</v>
      </c>
      <c r="D7" s="4">
        <v>8775</v>
      </c>
      <c r="E7" s="4">
        <v>7222</v>
      </c>
      <c r="F7" s="4">
        <v>6151</v>
      </c>
      <c r="G7" s="4">
        <v>8847</v>
      </c>
      <c r="H7" s="4">
        <v>10016</v>
      </c>
      <c r="I7" s="4">
        <v>10305</v>
      </c>
      <c r="J7" s="4">
        <v>10858</v>
      </c>
      <c r="K7" s="4">
        <v>2629</v>
      </c>
    </row>
    <row r="8" spans="1:11" s="12" customFormat="1" x14ac:dyDescent="0.25">
      <c r="A8" s="21" t="s">
        <v>68</v>
      </c>
      <c r="B8" s="22">
        <f t="shared" ref="B8:K8" si="2">SUM(B9:B9)</f>
        <v>524816</v>
      </c>
      <c r="C8" s="22">
        <f t="shared" si="2"/>
        <v>565624</v>
      </c>
      <c r="D8" s="22">
        <f t="shared" si="2"/>
        <v>676874</v>
      </c>
      <c r="E8" s="22">
        <f t="shared" si="2"/>
        <v>462111</v>
      </c>
      <c r="F8" s="22">
        <f t="shared" si="2"/>
        <v>756125</v>
      </c>
      <c r="G8" s="22">
        <f t="shared" si="2"/>
        <v>719265</v>
      </c>
      <c r="H8" s="22">
        <f t="shared" si="2"/>
        <v>707646</v>
      </c>
      <c r="I8" s="22">
        <f t="shared" si="2"/>
        <v>815481</v>
      </c>
      <c r="J8" s="22">
        <f t="shared" si="2"/>
        <v>612758</v>
      </c>
      <c r="K8" s="22">
        <f t="shared" si="2"/>
        <v>199286</v>
      </c>
    </row>
    <row r="9" spans="1:11" x14ac:dyDescent="0.25">
      <c r="A9" s="15" t="s">
        <v>66</v>
      </c>
      <c r="B9" s="4">
        <v>524816</v>
      </c>
      <c r="C9" s="4">
        <v>565624</v>
      </c>
      <c r="D9" s="4">
        <v>676874</v>
      </c>
      <c r="E9" s="4">
        <v>462111</v>
      </c>
      <c r="F9" s="4">
        <v>756125</v>
      </c>
      <c r="G9" s="4">
        <v>719265</v>
      </c>
      <c r="H9" s="4">
        <v>707646</v>
      </c>
      <c r="I9" s="4">
        <v>815481</v>
      </c>
      <c r="J9" s="4">
        <v>612758</v>
      </c>
      <c r="K9" s="4">
        <v>199286</v>
      </c>
    </row>
    <row r="10" spans="1:11" s="12" customFormat="1" x14ac:dyDescent="0.25">
      <c r="A10" s="21" t="s">
        <v>6</v>
      </c>
      <c r="B10" s="22">
        <f t="shared" ref="B10:I10" si="3">SUM(B11:B14,B17)</f>
        <v>1828793</v>
      </c>
      <c r="C10" s="22">
        <f t="shared" si="3"/>
        <v>1089793</v>
      </c>
      <c r="D10" s="22">
        <f>SUM(D11:D14,D17)</f>
        <v>4373760</v>
      </c>
      <c r="E10" s="22">
        <f t="shared" si="3"/>
        <v>2538042</v>
      </c>
      <c r="F10" s="22">
        <f t="shared" si="3"/>
        <v>4057479</v>
      </c>
      <c r="G10" s="22">
        <f t="shared" si="3"/>
        <v>7515049</v>
      </c>
      <c r="H10" s="22">
        <f t="shared" si="3"/>
        <v>8088325</v>
      </c>
      <c r="I10" s="22">
        <f t="shared" si="3"/>
        <v>518465</v>
      </c>
      <c r="J10" s="22">
        <f>SUM(J11:J14,J17)</f>
        <v>964934</v>
      </c>
      <c r="K10" s="22">
        <f>SUM(K11:K14,K17)</f>
        <v>928889</v>
      </c>
    </row>
    <row r="11" spans="1:11" x14ac:dyDescent="0.25">
      <c r="A11" s="15" t="s">
        <v>69</v>
      </c>
      <c r="B11" s="4">
        <v>1693686</v>
      </c>
      <c r="C11" s="4">
        <v>975710</v>
      </c>
      <c r="D11" s="4">
        <v>4270614</v>
      </c>
      <c r="E11" s="4">
        <v>2439367</v>
      </c>
      <c r="F11" s="4">
        <v>3977560</v>
      </c>
      <c r="G11" s="4">
        <v>7426622</v>
      </c>
      <c r="H11" s="4">
        <v>8008238</v>
      </c>
      <c r="I11" s="4">
        <v>437783</v>
      </c>
      <c r="J11" s="4">
        <v>908264</v>
      </c>
      <c r="K11" s="4">
        <v>875382</v>
      </c>
    </row>
    <row r="12" spans="1:11" x14ac:dyDescent="0.25">
      <c r="A12" s="19" t="s">
        <v>71</v>
      </c>
      <c r="B12" s="9">
        <v>20286</v>
      </c>
      <c r="C12" s="9">
        <v>16154</v>
      </c>
      <c r="D12" s="9">
        <v>16441</v>
      </c>
      <c r="E12" s="9">
        <v>12586</v>
      </c>
      <c r="F12" s="9">
        <v>14221</v>
      </c>
      <c r="G12" s="9">
        <v>17071</v>
      </c>
      <c r="H12" s="9">
        <v>25957</v>
      </c>
      <c r="I12" s="9">
        <v>9062</v>
      </c>
      <c r="J12" s="9">
        <v>14720</v>
      </c>
      <c r="K12" s="9">
        <v>9170</v>
      </c>
    </row>
    <row r="13" spans="1:11" x14ac:dyDescent="0.25">
      <c r="A13" s="19" t="s">
        <v>315</v>
      </c>
      <c r="B13" s="9">
        <v>2550</v>
      </c>
      <c r="C13" s="9">
        <v>2682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</row>
    <row r="14" spans="1:11" x14ac:dyDescent="0.25">
      <c r="A14" s="19" t="s">
        <v>314</v>
      </c>
      <c r="B14" s="9">
        <v>112374</v>
      </c>
      <c r="C14" s="9">
        <v>95345</v>
      </c>
      <c r="D14" s="9">
        <f t="shared" ref="D14:K14" si="4">SUM(D15:D16)</f>
        <v>86789</v>
      </c>
      <c r="E14" s="9">
        <f t="shared" si="4"/>
        <v>86157</v>
      </c>
      <c r="F14" s="9">
        <f t="shared" si="4"/>
        <v>65777</v>
      </c>
      <c r="G14" s="9">
        <f t="shared" si="4"/>
        <v>71452</v>
      </c>
      <c r="H14" s="9">
        <f t="shared" si="4"/>
        <v>67359</v>
      </c>
      <c r="I14" s="9">
        <f t="shared" si="4"/>
        <v>101141</v>
      </c>
      <c r="J14" s="9">
        <f t="shared" si="4"/>
        <v>59494</v>
      </c>
      <c r="K14" s="9">
        <f t="shared" si="4"/>
        <v>44383</v>
      </c>
    </row>
    <row r="15" spans="1:11" x14ac:dyDescent="0.25">
      <c r="A15" s="48" t="s">
        <v>70</v>
      </c>
      <c r="B15" s="23" t="s">
        <v>46</v>
      </c>
      <c r="C15" s="23" t="s">
        <v>46</v>
      </c>
      <c r="D15" s="9">
        <v>86365</v>
      </c>
      <c r="E15" s="9">
        <v>85180</v>
      </c>
      <c r="F15" s="9">
        <v>64198</v>
      </c>
      <c r="G15" s="9">
        <v>69260</v>
      </c>
      <c r="H15" s="9">
        <v>63370</v>
      </c>
      <c r="I15" s="9">
        <v>96138</v>
      </c>
      <c r="J15" s="9">
        <v>53520</v>
      </c>
      <c r="K15" s="9">
        <v>44383</v>
      </c>
    </row>
    <row r="16" spans="1:11" x14ac:dyDescent="0.25">
      <c r="A16" s="48" t="s">
        <v>72</v>
      </c>
      <c r="B16" s="23" t="s">
        <v>46</v>
      </c>
      <c r="C16" s="23" t="s">
        <v>46</v>
      </c>
      <c r="D16" s="9">
        <v>424</v>
      </c>
      <c r="E16" s="9">
        <v>977</v>
      </c>
      <c r="F16" s="9">
        <v>1579</v>
      </c>
      <c r="G16" s="9">
        <v>2192</v>
      </c>
      <c r="H16" s="9">
        <v>3989</v>
      </c>
      <c r="I16" s="9">
        <v>5003</v>
      </c>
      <c r="J16" s="9">
        <v>5974</v>
      </c>
      <c r="K16" s="23" t="s">
        <v>46</v>
      </c>
    </row>
    <row r="17" spans="1:11" x14ac:dyDescent="0.25">
      <c r="A17" s="19" t="s">
        <v>73</v>
      </c>
      <c r="B17" s="9">
        <v>-103</v>
      </c>
      <c r="C17" s="9">
        <v>-98</v>
      </c>
      <c r="D17" s="9">
        <v>-84</v>
      </c>
      <c r="E17" s="9">
        <v>-68</v>
      </c>
      <c r="F17" s="9">
        <v>-79</v>
      </c>
      <c r="G17" s="9">
        <v>-96</v>
      </c>
      <c r="H17" s="9">
        <v>-13229</v>
      </c>
      <c r="I17" s="9">
        <v>-29521</v>
      </c>
      <c r="J17" s="9">
        <v>-17544</v>
      </c>
      <c r="K17" s="9">
        <v>-46</v>
      </c>
    </row>
    <row r="18" spans="1:11" x14ac:dyDescent="0.25">
      <c r="A18" s="16" t="s">
        <v>74</v>
      </c>
      <c r="B18" s="1">
        <f t="shared" ref="B18:J18" si="5">B5+B8+B10</f>
        <v>3458807</v>
      </c>
      <c r="C18" s="1">
        <f t="shared" si="5"/>
        <v>3200923</v>
      </c>
      <c r="D18" s="1">
        <f t="shared" si="5"/>
        <v>6560046</v>
      </c>
      <c r="E18" s="1">
        <f t="shared" si="5"/>
        <v>4455754</v>
      </c>
      <c r="F18" s="1">
        <f t="shared" si="5"/>
        <v>6012385</v>
      </c>
      <c r="G18" s="1">
        <f t="shared" si="5"/>
        <v>9815339</v>
      </c>
      <c r="H18" s="1">
        <f t="shared" si="5"/>
        <v>10227285</v>
      </c>
      <c r="I18" s="1">
        <f t="shared" si="5"/>
        <v>2812908</v>
      </c>
      <c r="J18" s="1">
        <f t="shared" si="5"/>
        <v>3535005</v>
      </c>
      <c r="K18" s="1">
        <f t="shared" ref="K18" si="6">K5+K8+K10</f>
        <v>1623351</v>
      </c>
    </row>
    <row r="19" spans="1:1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12" customFormat="1" x14ac:dyDescent="0.25">
      <c r="A20" s="18" t="s">
        <v>6</v>
      </c>
      <c r="B20" s="20">
        <f t="shared" ref="B20:J20" si="7">SUM(B21:B25)</f>
        <v>28579971</v>
      </c>
      <c r="C20" s="20">
        <f t="shared" si="7"/>
        <v>29766329</v>
      </c>
      <c r="D20" s="20">
        <f t="shared" si="7"/>
        <v>26520888</v>
      </c>
      <c r="E20" s="20">
        <f t="shared" si="7"/>
        <v>28839995</v>
      </c>
      <c r="F20" s="20">
        <f t="shared" si="7"/>
        <v>28934838</v>
      </c>
      <c r="G20" s="20">
        <f t="shared" si="7"/>
        <v>26148419</v>
      </c>
      <c r="H20" s="20">
        <f t="shared" si="7"/>
        <v>25619107</v>
      </c>
      <c r="I20" s="20">
        <f t="shared" si="7"/>
        <v>32517090</v>
      </c>
      <c r="J20" s="20">
        <f t="shared" si="7"/>
        <v>28227319</v>
      </c>
      <c r="K20" s="20">
        <f>SUM(K21:K25)</f>
        <v>18675549</v>
      </c>
    </row>
    <row r="21" spans="1:11" x14ac:dyDescent="0.25">
      <c r="A21" s="15" t="s">
        <v>69</v>
      </c>
      <c r="B21" s="4">
        <v>27979600</v>
      </c>
      <c r="C21" s="4">
        <v>29141139</v>
      </c>
      <c r="D21" s="4">
        <v>26476778</v>
      </c>
      <c r="E21" s="4">
        <v>28781414</v>
      </c>
      <c r="F21" s="4">
        <v>28885041</v>
      </c>
      <c r="G21" s="4">
        <v>26103603</v>
      </c>
      <c r="H21" s="4">
        <v>25583125</v>
      </c>
      <c r="I21" s="4">
        <v>32498500</v>
      </c>
      <c r="J21" s="4">
        <v>28221370</v>
      </c>
      <c r="K21" s="4">
        <v>18675549</v>
      </c>
    </row>
    <row r="22" spans="1:11" x14ac:dyDescent="0.25">
      <c r="A22" s="19" t="s">
        <v>71</v>
      </c>
      <c r="B22" s="9">
        <v>464775</v>
      </c>
      <c r="C22" s="9">
        <v>482966</v>
      </c>
      <c r="D22" s="9">
        <v>46477</v>
      </c>
      <c r="E22" s="9">
        <v>59759</v>
      </c>
      <c r="F22" s="9">
        <v>50047</v>
      </c>
      <c r="G22" s="9">
        <v>45041</v>
      </c>
      <c r="H22" s="9">
        <v>35982</v>
      </c>
      <c r="I22" s="9">
        <v>18590</v>
      </c>
      <c r="J22" s="9">
        <v>5954</v>
      </c>
      <c r="K22" s="23" t="s">
        <v>46</v>
      </c>
    </row>
    <row r="23" spans="1:11" x14ac:dyDescent="0.25">
      <c r="A23" s="19" t="s">
        <v>316</v>
      </c>
      <c r="B23" s="9">
        <v>7901</v>
      </c>
      <c r="C23" s="9">
        <v>7901</v>
      </c>
      <c r="D23" s="23" t="s">
        <v>46</v>
      </c>
      <c r="E23" s="23" t="s">
        <v>46</v>
      </c>
      <c r="F23" s="23" t="s">
        <v>46</v>
      </c>
      <c r="G23" s="23" t="s">
        <v>46</v>
      </c>
      <c r="H23" s="23" t="s">
        <v>46</v>
      </c>
      <c r="I23" s="23" t="s">
        <v>46</v>
      </c>
      <c r="J23" s="23" t="s">
        <v>46</v>
      </c>
      <c r="K23" s="23" t="s">
        <v>46</v>
      </c>
    </row>
    <row r="24" spans="1:11" x14ac:dyDescent="0.25">
      <c r="A24" s="19" t="s">
        <v>315</v>
      </c>
      <c r="B24" s="9">
        <v>130019</v>
      </c>
      <c r="C24" s="9">
        <v>136738</v>
      </c>
      <c r="D24" s="23" t="s">
        <v>46</v>
      </c>
      <c r="E24" s="23" t="s">
        <v>46</v>
      </c>
      <c r="F24" s="23" t="s">
        <v>46</v>
      </c>
      <c r="G24" s="23" t="s">
        <v>46</v>
      </c>
      <c r="H24" s="23" t="s">
        <v>46</v>
      </c>
      <c r="I24" s="23" t="s">
        <v>46</v>
      </c>
      <c r="J24" s="23" t="s">
        <v>46</v>
      </c>
      <c r="K24" s="23" t="s">
        <v>46</v>
      </c>
    </row>
    <row r="25" spans="1:11" x14ac:dyDescent="0.25">
      <c r="A25" s="19" t="s">
        <v>73</v>
      </c>
      <c r="B25" s="23">
        <v>-2324</v>
      </c>
      <c r="C25" s="23">
        <v>-2415</v>
      </c>
      <c r="D25" s="23">
        <v>-2367</v>
      </c>
      <c r="E25" s="23">
        <v>-1178</v>
      </c>
      <c r="F25" s="23">
        <v>-250</v>
      </c>
      <c r="G25" s="23">
        <v>-225</v>
      </c>
      <c r="H25" s="23" t="s">
        <v>46</v>
      </c>
      <c r="I25" s="23" t="s">
        <v>46</v>
      </c>
      <c r="J25" s="9">
        <v>-5</v>
      </c>
      <c r="K25" s="23" t="s">
        <v>46</v>
      </c>
    </row>
    <row r="26" spans="1:11" x14ac:dyDescent="0.25">
      <c r="A26" s="16" t="s">
        <v>77</v>
      </c>
      <c r="B26" s="1">
        <f t="shared" ref="B26:J26" si="8">B20</f>
        <v>28579971</v>
      </c>
      <c r="C26" s="1">
        <f t="shared" si="8"/>
        <v>29766329</v>
      </c>
      <c r="D26" s="1">
        <f t="shared" si="8"/>
        <v>26520888</v>
      </c>
      <c r="E26" s="1">
        <f t="shared" si="8"/>
        <v>28839995</v>
      </c>
      <c r="F26" s="1">
        <f t="shared" si="8"/>
        <v>28934838</v>
      </c>
      <c r="G26" s="1">
        <f t="shared" si="8"/>
        <v>26148419</v>
      </c>
      <c r="H26" s="1">
        <f t="shared" si="8"/>
        <v>25619107</v>
      </c>
      <c r="I26" s="1">
        <f t="shared" si="8"/>
        <v>32517090</v>
      </c>
      <c r="J26" s="1">
        <f t="shared" si="8"/>
        <v>28227319</v>
      </c>
      <c r="K26" s="1">
        <f>K20</f>
        <v>18675549</v>
      </c>
    </row>
    <row r="27" spans="1:11" x14ac:dyDescent="0.25">
      <c r="B27" s="28"/>
      <c r="C27" s="28"/>
      <c r="D27" s="28"/>
      <c r="E27" s="28"/>
      <c r="F27" s="28"/>
      <c r="G27" s="28"/>
      <c r="H27" s="28"/>
      <c r="I27" s="28"/>
      <c r="J27" s="28"/>
    </row>
    <row r="29" spans="1:11" x14ac:dyDescent="0.25">
      <c r="A29" s="14" t="s">
        <v>8</v>
      </c>
      <c r="B29" s="5">
        <f t="shared" ref="B29:C29" si="9">B26+B18</f>
        <v>32038778</v>
      </c>
      <c r="C29" s="5">
        <f t="shared" si="9"/>
        <v>32967252</v>
      </c>
      <c r="D29" s="5">
        <f t="shared" ref="D29:I29" si="10">D26+D18</f>
        <v>33080934</v>
      </c>
      <c r="E29" s="5">
        <f t="shared" si="10"/>
        <v>33295749</v>
      </c>
      <c r="F29" s="5">
        <f t="shared" si="10"/>
        <v>34947223</v>
      </c>
      <c r="G29" s="5">
        <f t="shared" si="10"/>
        <v>35963758</v>
      </c>
      <c r="H29" s="5">
        <f t="shared" si="10"/>
        <v>35846392</v>
      </c>
      <c r="I29" s="5">
        <f t="shared" si="10"/>
        <v>35329998</v>
      </c>
      <c r="J29" s="5">
        <f>J26+J18</f>
        <v>31762324</v>
      </c>
      <c r="K29" s="5">
        <f>K26+K18</f>
        <v>20298900</v>
      </c>
    </row>
    <row r="31" spans="1:11" x14ac:dyDescent="0.25">
      <c r="A31" s="13" t="s">
        <v>153</v>
      </c>
    </row>
    <row r="32" spans="1:11" x14ac:dyDescent="0.25">
      <c r="A32" s="13" t="s">
        <v>9</v>
      </c>
      <c r="B32" s="2"/>
      <c r="C32" s="2"/>
      <c r="D32" s="2"/>
    </row>
    <row r="33" spans="1:11" x14ac:dyDescent="0.25">
      <c r="B33" s="8"/>
      <c r="C33" s="8"/>
      <c r="D33" s="8">
        <v>40695</v>
      </c>
      <c r="E33" s="8">
        <v>41061</v>
      </c>
      <c r="F33" s="8">
        <v>41426</v>
      </c>
      <c r="G33" s="8">
        <v>41791</v>
      </c>
      <c r="H33" s="8">
        <v>42156</v>
      </c>
      <c r="I33" s="8">
        <v>42522</v>
      </c>
      <c r="J33" s="8">
        <v>42887</v>
      </c>
      <c r="K33" s="8">
        <v>43252</v>
      </c>
    </row>
    <row r="34" spans="1:11" x14ac:dyDescent="0.25">
      <c r="A34" s="15" t="s">
        <v>154</v>
      </c>
      <c r="B34" s="4"/>
      <c r="C34" s="4"/>
      <c r="D34" s="4">
        <v>1831753</v>
      </c>
      <c r="E34" s="4">
        <v>1858766</v>
      </c>
      <c r="F34" s="4">
        <v>1675092</v>
      </c>
      <c r="G34" s="4">
        <v>1647748</v>
      </c>
      <c r="H34" s="4">
        <v>1756721</v>
      </c>
      <c r="I34" s="4">
        <v>2155825</v>
      </c>
      <c r="J34" s="4">
        <v>2054824</v>
      </c>
      <c r="K34" s="4">
        <v>1701912</v>
      </c>
    </row>
    <row r="35" spans="1:11" x14ac:dyDescent="0.25">
      <c r="A35" s="15" t="s">
        <v>155</v>
      </c>
      <c r="B35" s="10"/>
      <c r="C35" s="10"/>
      <c r="D35" s="10" t="s">
        <v>46</v>
      </c>
      <c r="E35" s="10" t="s">
        <v>46</v>
      </c>
      <c r="F35" s="10" t="s">
        <v>46</v>
      </c>
      <c r="G35" s="10" t="s">
        <v>46</v>
      </c>
      <c r="H35" s="10" t="s">
        <v>46</v>
      </c>
      <c r="I35" s="10" t="s">
        <v>46</v>
      </c>
      <c r="J35" s="4">
        <v>218772</v>
      </c>
      <c r="K35" s="4">
        <v>95053</v>
      </c>
    </row>
    <row r="36" spans="1:11" x14ac:dyDescent="0.25">
      <c r="A36" s="15" t="s">
        <v>156</v>
      </c>
      <c r="B36" s="4"/>
      <c r="C36" s="4"/>
      <c r="D36" s="4">
        <v>84163</v>
      </c>
      <c r="E36" s="4">
        <v>83617</v>
      </c>
      <c r="F36" s="4">
        <v>76502</v>
      </c>
      <c r="G36" s="4">
        <v>77421</v>
      </c>
      <c r="H36" s="4">
        <v>91963</v>
      </c>
      <c r="I36" s="4">
        <v>90735</v>
      </c>
      <c r="J36" s="4">
        <v>92715</v>
      </c>
      <c r="K36" s="4">
        <v>70646</v>
      </c>
    </row>
    <row r="37" spans="1:11" x14ac:dyDescent="0.25">
      <c r="A37" s="15" t="s">
        <v>157</v>
      </c>
      <c r="B37" s="4"/>
      <c r="C37" s="4"/>
      <c r="D37" s="4">
        <v>34476</v>
      </c>
      <c r="E37" s="4">
        <v>35895</v>
      </c>
      <c r="F37" s="4">
        <v>38259</v>
      </c>
      <c r="G37" s="4">
        <v>41248</v>
      </c>
      <c r="H37" s="4">
        <v>43597</v>
      </c>
      <c r="I37" s="4">
        <v>40222</v>
      </c>
      <c r="J37" s="4">
        <v>43290</v>
      </c>
      <c r="K37" s="4">
        <v>24791</v>
      </c>
    </row>
    <row r="38" spans="1:11" x14ac:dyDescent="0.25">
      <c r="A38" s="15" t="s">
        <v>158</v>
      </c>
      <c r="B38" s="4"/>
      <c r="C38" s="4"/>
      <c r="D38" s="4">
        <v>14552</v>
      </c>
      <c r="E38" s="4">
        <v>12517</v>
      </c>
      <c r="F38" s="4">
        <v>361</v>
      </c>
      <c r="G38" s="4">
        <v>6966</v>
      </c>
      <c r="H38" s="4">
        <v>17363</v>
      </c>
      <c r="I38" s="4">
        <v>30513</v>
      </c>
      <c r="J38" s="4">
        <v>22529</v>
      </c>
      <c r="K38" s="4">
        <v>2099</v>
      </c>
    </row>
    <row r="39" spans="1:11" x14ac:dyDescent="0.25">
      <c r="A39" s="15" t="s">
        <v>159</v>
      </c>
      <c r="B39" s="4"/>
      <c r="C39" s="4"/>
      <c r="D39" s="4">
        <v>5917</v>
      </c>
      <c r="E39" s="4">
        <v>6073</v>
      </c>
      <c r="F39" s="4">
        <v>65</v>
      </c>
      <c r="G39" s="4">
        <v>3397</v>
      </c>
      <c r="H39" s="4">
        <v>8699</v>
      </c>
      <c r="I39" s="4">
        <v>13786</v>
      </c>
      <c r="J39" s="4">
        <v>12281</v>
      </c>
      <c r="K39" s="4">
        <v>665</v>
      </c>
    </row>
    <row r="40" spans="1:11" x14ac:dyDescent="0.25">
      <c r="A40" s="15" t="s">
        <v>160</v>
      </c>
      <c r="B40" s="10"/>
      <c r="C40" s="10"/>
      <c r="D40" s="10" t="s">
        <v>46</v>
      </c>
      <c r="E40" s="4">
        <v>16198</v>
      </c>
      <c r="F40" s="10">
        <v>5497</v>
      </c>
      <c r="G40" s="4">
        <v>205</v>
      </c>
      <c r="H40" s="10">
        <v>16450</v>
      </c>
      <c r="I40" s="4">
        <v>288324</v>
      </c>
      <c r="J40" s="10" t="s">
        <v>46</v>
      </c>
      <c r="K40" s="10" t="s">
        <v>46</v>
      </c>
    </row>
    <row r="41" spans="1:11" x14ac:dyDescent="0.25">
      <c r="A41" s="14" t="s">
        <v>8</v>
      </c>
      <c r="B41" s="5"/>
      <c r="C41" s="5"/>
      <c r="D41" s="5">
        <f t="shared" ref="D41:I41" si="11">SUM(D34:D40)</f>
        <v>1970861</v>
      </c>
      <c r="E41" s="5">
        <f t="shared" si="11"/>
        <v>2013066</v>
      </c>
      <c r="F41" s="5">
        <f t="shared" si="11"/>
        <v>1795776</v>
      </c>
      <c r="G41" s="5">
        <f t="shared" si="11"/>
        <v>1776985</v>
      </c>
      <c r="H41" s="5">
        <f t="shared" si="11"/>
        <v>1934793</v>
      </c>
      <c r="I41" s="5">
        <f t="shared" si="11"/>
        <v>2619405</v>
      </c>
      <c r="J41" s="5">
        <f>SUM(J34:J40)</f>
        <v>2444411</v>
      </c>
      <c r="K41" s="5">
        <f>SUM(K34:K40)</f>
        <v>1895166</v>
      </c>
    </row>
    <row r="43" spans="1:11" x14ac:dyDescent="0.25">
      <c r="A43" s="13" t="s">
        <v>161</v>
      </c>
    </row>
    <row r="44" spans="1:11" x14ac:dyDescent="0.25">
      <c r="A44" s="13" t="s">
        <v>9</v>
      </c>
    </row>
    <row r="45" spans="1:11" x14ac:dyDescent="0.25">
      <c r="B45" s="8"/>
      <c r="C45" s="8"/>
      <c r="D45" s="8">
        <v>40695</v>
      </c>
      <c r="E45" s="8">
        <v>41061</v>
      </c>
      <c r="F45" s="8">
        <v>41426</v>
      </c>
      <c r="G45" s="8">
        <v>41791</v>
      </c>
      <c r="H45" s="8">
        <v>42156</v>
      </c>
      <c r="I45" s="8">
        <v>42522</v>
      </c>
      <c r="J45" s="8">
        <v>42887</v>
      </c>
      <c r="K45" s="8">
        <v>43252</v>
      </c>
    </row>
    <row r="46" spans="1:11" x14ac:dyDescent="0.25">
      <c r="A46" s="15" t="s">
        <v>6</v>
      </c>
      <c r="B46" s="4"/>
      <c r="C46" s="4"/>
      <c r="D46" s="4">
        <v>30833757</v>
      </c>
      <c r="E46" s="4">
        <v>31305961</v>
      </c>
      <c r="F46" s="4">
        <v>32926799</v>
      </c>
      <c r="G46" s="4">
        <v>33599485</v>
      </c>
      <c r="H46" s="4">
        <v>33654733</v>
      </c>
      <c r="I46" s="4">
        <v>33032421</v>
      </c>
      <c r="J46" s="4">
        <v>29183154</v>
      </c>
      <c r="K46" s="4">
        <v>19595314</v>
      </c>
    </row>
    <row r="47" spans="1:11" x14ac:dyDescent="0.25">
      <c r="A47" s="15" t="s">
        <v>3</v>
      </c>
      <c r="B47" s="10"/>
      <c r="C47" s="10"/>
      <c r="D47" s="10">
        <v>1509412</v>
      </c>
      <c r="E47" s="10">
        <v>1455601</v>
      </c>
      <c r="F47" s="10">
        <v>1198781</v>
      </c>
      <c r="G47" s="10">
        <v>1581025</v>
      </c>
      <c r="H47" s="10">
        <v>1431314</v>
      </c>
      <c r="I47" s="10">
        <v>1478962</v>
      </c>
      <c r="J47" s="10">
        <v>1957313</v>
      </c>
      <c r="K47" s="10">
        <v>495176</v>
      </c>
    </row>
    <row r="48" spans="1:11" x14ac:dyDescent="0.25">
      <c r="A48" s="15" t="s">
        <v>4</v>
      </c>
      <c r="B48" s="4"/>
      <c r="C48" s="4"/>
      <c r="D48" s="4">
        <v>676874</v>
      </c>
      <c r="E48" s="4">
        <v>462111</v>
      </c>
      <c r="F48" s="4">
        <v>756125</v>
      </c>
      <c r="G48" s="4">
        <v>719265</v>
      </c>
      <c r="H48" s="4">
        <v>707646</v>
      </c>
      <c r="I48" s="4">
        <v>815481</v>
      </c>
      <c r="J48" s="4">
        <v>612758</v>
      </c>
      <c r="K48" s="4">
        <v>199286</v>
      </c>
    </row>
    <row r="49" spans="1:11" x14ac:dyDescent="0.25">
      <c r="A49" s="15" t="s">
        <v>162</v>
      </c>
      <c r="B49" s="4"/>
      <c r="C49" s="4"/>
      <c r="D49" s="4">
        <v>63342</v>
      </c>
      <c r="E49" s="4">
        <v>73322</v>
      </c>
      <c r="F49" s="4">
        <v>65847</v>
      </c>
      <c r="G49" s="4">
        <v>64304</v>
      </c>
      <c r="H49" s="4">
        <v>65928</v>
      </c>
      <c r="I49" s="4">
        <v>32655</v>
      </c>
      <c r="J49" s="4">
        <v>26648</v>
      </c>
      <c r="K49" s="4">
        <v>9170</v>
      </c>
    </row>
    <row r="50" spans="1:11" x14ac:dyDescent="0.25">
      <c r="A50" s="14" t="s">
        <v>8</v>
      </c>
      <c r="B50" s="5"/>
      <c r="C50" s="5"/>
      <c r="D50" s="5">
        <f t="shared" ref="D50:J50" si="12">SUM(D46:D49)</f>
        <v>33083385</v>
      </c>
      <c r="E50" s="5">
        <f t="shared" si="12"/>
        <v>33296995</v>
      </c>
      <c r="F50" s="5">
        <f t="shared" si="12"/>
        <v>34947552</v>
      </c>
      <c r="G50" s="5">
        <f t="shared" si="12"/>
        <v>35964079</v>
      </c>
      <c r="H50" s="5">
        <f t="shared" si="12"/>
        <v>35859621</v>
      </c>
      <c r="I50" s="5">
        <f t="shared" si="12"/>
        <v>35359519</v>
      </c>
      <c r="J50" s="5">
        <f t="shared" si="12"/>
        <v>31779873</v>
      </c>
      <c r="K50" s="5">
        <f t="shared" ref="K50" si="13">SUM(K46:K49)</f>
        <v>20298946</v>
      </c>
    </row>
    <row r="52" spans="1:11" x14ac:dyDescent="0.25">
      <c r="A52" s="13" t="s">
        <v>163</v>
      </c>
    </row>
    <row r="53" spans="1:11" x14ac:dyDescent="0.25">
      <c r="A53" s="13" t="s">
        <v>9</v>
      </c>
    </row>
    <row r="54" spans="1:11" x14ac:dyDescent="0.25">
      <c r="B54" s="8"/>
      <c r="C54" s="8"/>
      <c r="D54" s="8">
        <v>40695</v>
      </c>
      <c r="E54" s="8">
        <v>41061</v>
      </c>
      <c r="F54" s="8">
        <v>41426</v>
      </c>
      <c r="G54" s="8">
        <v>41791</v>
      </c>
      <c r="H54" s="8">
        <v>42156</v>
      </c>
      <c r="I54" s="8">
        <v>42522</v>
      </c>
      <c r="J54" s="8">
        <v>42887</v>
      </c>
      <c r="K54" s="8">
        <v>43252</v>
      </c>
    </row>
    <row r="55" spans="1:11" s="12" customFormat="1" x14ac:dyDescent="0.25">
      <c r="A55" s="18" t="s">
        <v>165</v>
      </c>
      <c r="B55" s="20"/>
      <c r="C55" s="20"/>
      <c r="D55" s="20">
        <v>-2513</v>
      </c>
      <c r="E55" s="20">
        <f t="shared" ref="E55:J55" si="14">D57</f>
        <v>-2451</v>
      </c>
      <c r="F55" s="20">
        <f t="shared" si="14"/>
        <v>-1246</v>
      </c>
      <c r="G55" s="20">
        <f t="shared" si="14"/>
        <v>-329</v>
      </c>
      <c r="H55" s="20">
        <f t="shared" si="14"/>
        <v>-321</v>
      </c>
      <c r="I55" s="20">
        <f t="shared" si="14"/>
        <v>-13229</v>
      </c>
      <c r="J55" s="20">
        <f t="shared" si="14"/>
        <v>-29521</v>
      </c>
      <c r="K55" s="20">
        <f>J57</f>
        <v>-17549</v>
      </c>
    </row>
    <row r="56" spans="1:11" x14ac:dyDescent="0.25">
      <c r="A56" s="15" t="s">
        <v>166</v>
      </c>
      <c r="B56" s="10"/>
      <c r="C56" s="10"/>
      <c r="D56" s="10">
        <v>62</v>
      </c>
      <c r="E56" s="10">
        <v>1205</v>
      </c>
      <c r="F56" s="10">
        <v>917</v>
      </c>
      <c r="G56" s="10">
        <v>8</v>
      </c>
      <c r="H56" s="10">
        <v>-12908</v>
      </c>
      <c r="I56" s="10">
        <v>-16292</v>
      </c>
      <c r="J56" s="10">
        <v>11972</v>
      </c>
      <c r="K56" s="10">
        <v>17503</v>
      </c>
    </row>
    <row r="57" spans="1:11" x14ac:dyDescent="0.25">
      <c r="A57" s="14" t="s">
        <v>164</v>
      </c>
      <c r="B57" s="5"/>
      <c r="C57" s="5"/>
      <c r="D57" s="5">
        <f t="shared" ref="D57:K57" si="15">SUM(D55:D56)</f>
        <v>-2451</v>
      </c>
      <c r="E57" s="5">
        <f t="shared" si="15"/>
        <v>-1246</v>
      </c>
      <c r="F57" s="5">
        <f t="shared" si="15"/>
        <v>-329</v>
      </c>
      <c r="G57" s="5">
        <f t="shared" si="15"/>
        <v>-321</v>
      </c>
      <c r="H57" s="5">
        <f t="shared" si="15"/>
        <v>-13229</v>
      </c>
      <c r="I57" s="5">
        <f t="shared" si="15"/>
        <v>-29521</v>
      </c>
      <c r="J57" s="5">
        <f t="shared" si="15"/>
        <v>-17549</v>
      </c>
      <c r="K57" s="5">
        <f t="shared" si="15"/>
        <v>-46</v>
      </c>
    </row>
    <row r="59" spans="1:11" x14ac:dyDescent="0.25">
      <c r="A59" s="13" t="s">
        <v>190</v>
      </c>
    </row>
    <row r="60" spans="1:11" x14ac:dyDescent="0.25">
      <c r="A60" s="13" t="s">
        <v>9</v>
      </c>
    </row>
    <row r="61" spans="1:11" x14ac:dyDescent="0.25">
      <c r="B61" s="6"/>
      <c r="C61" s="6"/>
      <c r="D61" s="6">
        <v>40695</v>
      </c>
      <c r="E61" s="6">
        <v>41061</v>
      </c>
      <c r="F61" s="6">
        <v>41426</v>
      </c>
      <c r="G61" s="6">
        <v>41791</v>
      </c>
      <c r="H61" s="6">
        <v>42156</v>
      </c>
      <c r="I61" s="6">
        <v>42522</v>
      </c>
      <c r="J61" s="6">
        <v>42887</v>
      </c>
      <c r="K61" s="6">
        <v>43252</v>
      </c>
    </row>
    <row r="62" spans="1:11" s="12" customFormat="1" x14ac:dyDescent="0.25">
      <c r="A62" s="18" t="s">
        <v>65</v>
      </c>
      <c r="B62" s="20"/>
      <c r="C62" s="20"/>
      <c r="D62" s="20">
        <f t="shared" ref="D62:J62" si="16">SUM(D63:D64)</f>
        <v>1509412</v>
      </c>
      <c r="E62" s="20">
        <f t="shared" si="16"/>
        <v>1455601</v>
      </c>
      <c r="F62" s="20">
        <f t="shared" si="16"/>
        <v>1198781</v>
      </c>
      <c r="G62" s="20">
        <f t="shared" si="16"/>
        <v>1581025</v>
      </c>
      <c r="H62" s="20">
        <f t="shared" si="16"/>
        <v>1431314</v>
      </c>
      <c r="I62" s="20">
        <f t="shared" si="16"/>
        <v>1478962</v>
      </c>
      <c r="J62" s="20">
        <f t="shared" si="16"/>
        <v>1957313</v>
      </c>
      <c r="K62" s="20">
        <f>SUM(K63:K64)</f>
        <v>495176</v>
      </c>
    </row>
    <row r="63" spans="1:11" x14ac:dyDescent="0.25">
      <c r="A63" s="15" t="s">
        <v>191</v>
      </c>
      <c r="B63" s="4"/>
      <c r="C63" s="4"/>
      <c r="D63" s="4">
        <v>1500637</v>
      </c>
      <c r="E63" s="4">
        <v>1448379</v>
      </c>
      <c r="F63" s="4">
        <v>1192630</v>
      </c>
      <c r="G63" s="4">
        <v>1572178</v>
      </c>
      <c r="H63" s="4">
        <v>1421298</v>
      </c>
      <c r="I63" s="4">
        <v>1468657</v>
      </c>
      <c r="J63" s="4">
        <v>1946455</v>
      </c>
      <c r="K63" s="4">
        <v>492547</v>
      </c>
    </row>
    <row r="64" spans="1:11" x14ac:dyDescent="0.25">
      <c r="A64" s="15" t="s">
        <v>192</v>
      </c>
      <c r="B64" s="4"/>
      <c r="C64" s="4"/>
      <c r="D64" s="4">
        <v>8775</v>
      </c>
      <c r="E64" s="4">
        <v>7222</v>
      </c>
      <c r="F64" s="4">
        <v>6151</v>
      </c>
      <c r="G64" s="4">
        <v>8847</v>
      </c>
      <c r="H64" s="4">
        <v>10016</v>
      </c>
      <c r="I64" s="4">
        <v>10305</v>
      </c>
      <c r="J64" s="4">
        <v>10858</v>
      </c>
      <c r="K64" s="4">
        <v>2629</v>
      </c>
    </row>
    <row r="65" spans="1:12" s="12" customFormat="1" x14ac:dyDescent="0.25">
      <c r="A65" s="18" t="s">
        <v>68</v>
      </c>
      <c r="B65" s="20"/>
      <c r="C65" s="20"/>
      <c r="D65" s="20">
        <f t="shared" ref="D65:J65" si="17">SUM(D66:D67)</f>
        <v>676874</v>
      </c>
      <c r="E65" s="20">
        <f t="shared" si="17"/>
        <v>462111</v>
      </c>
      <c r="F65" s="20">
        <f t="shared" si="17"/>
        <v>756125</v>
      </c>
      <c r="G65" s="20">
        <f t="shared" si="17"/>
        <v>719265</v>
      </c>
      <c r="H65" s="20">
        <f t="shared" si="17"/>
        <v>707646</v>
      </c>
      <c r="I65" s="20">
        <f t="shared" si="17"/>
        <v>815481</v>
      </c>
      <c r="J65" s="20">
        <f t="shared" si="17"/>
        <v>612758</v>
      </c>
      <c r="K65" s="20">
        <f>SUM(K66:K67)</f>
        <v>199286</v>
      </c>
    </row>
    <row r="66" spans="1:12" x14ac:dyDescent="0.25">
      <c r="A66" s="15" t="s">
        <v>191</v>
      </c>
      <c r="B66" s="4"/>
      <c r="C66" s="4"/>
      <c r="D66" s="4">
        <v>676874</v>
      </c>
      <c r="E66" s="4">
        <v>462111</v>
      </c>
      <c r="F66" s="4">
        <v>756125</v>
      </c>
      <c r="G66" s="4">
        <v>719265</v>
      </c>
      <c r="H66" s="4">
        <v>707646</v>
      </c>
      <c r="I66" s="4">
        <v>815481</v>
      </c>
      <c r="J66" s="4">
        <v>612758</v>
      </c>
      <c r="K66" s="4">
        <v>199286</v>
      </c>
    </row>
    <row r="67" spans="1:12" x14ac:dyDescent="0.25">
      <c r="A67" s="15" t="s">
        <v>192</v>
      </c>
      <c r="B67" s="10"/>
      <c r="C67" s="10"/>
      <c r="D67" s="10" t="s">
        <v>46</v>
      </c>
      <c r="E67" s="10" t="s">
        <v>46</v>
      </c>
      <c r="F67" s="10" t="s">
        <v>46</v>
      </c>
      <c r="G67" s="10" t="s">
        <v>46</v>
      </c>
      <c r="H67" s="10" t="s">
        <v>46</v>
      </c>
      <c r="I67" s="10" t="s">
        <v>46</v>
      </c>
      <c r="J67" s="10" t="s">
        <v>46</v>
      </c>
      <c r="K67" s="10" t="s">
        <v>46</v>
      </c>
    </row>
    <row r="68" spans="1:12" s="12" customFormat="1" x14ac:dyDescent="0.25">
      <c r="A68" s="18" t="s">
        <v>6</v>
      </c>
      <c r="B68" s="20"/>
      <c r="C68" s="20"/>
      <c r="D68" s="20">
        <f>SUM(D69:D73)</f>
        <v>30894648</v>
      </c>
      <c r="E68" s="20">
        <f t="shared" ref="E68:J68" si="18">SUM(E69:E73)</f>
        <v>31378037</v>
      </c>
      <c r="F68" s="20">
        <f t="shared" si="18"/>
        <v>32992317</v>
      </c>
      <c r="G68" s="20">
        <f t="shared" si="18"/>
        <v>33663468</v>
      </c>
      <c r="H68" s="20">
        <f t="shared" si="18"/>
        <v>33707432</v>
      </c>
      <c r="I68" s="20">
        <f t="shared" si="18"/>
        <v>33035555</v>
      </c>
      <c r="J68" s="20">
        <f t="shared" si="18"/>
        <v>29222253</v>
      </c>
      <c r="K68" s="20">
        <f>SUM(K69:K73)</f>
        <v>19604438</v>
      </c>
    </row>
    <row r="69" spans="1:12" x14ac:dyDescent="0.25">
      <c r="A69" s="15" t="s">
        <v>193</v>
      </c>
      <c r="B69" s="4"/>
      <c r="C69" s="4"/>
      <c r="D69" s="4">
        <v>30747392</v>
      </c>
      <c r="E69" s="4">
        <v>31220781</v>
      </c>
      <c r="F69" s="4">
        <v>32862602</v>
      </c>
      <c r="G69" s="4">
        <v>33530225</v>
      </c>
      <c r="H69" s="4">
        <v>33591364</v>
      </c>
      <c r="I69" s="4">
        <v>32936283</v>
      </c>
      <c r="J69" s="4">
        <v>29129634</v>
      </c>
      <c r="K69" s="4">
        <v>19550931</v>
      </c>
      <c r="L69" s="2"/>
    </row>
    <row r="70" spans="1:12" x14ac:dyDescent="0.25">
      <c r="A70" s="15" t="s">
        <v>194</v>
      </c>
      <c r="B70" s="4"/>
      <c r="C70" s="4"/>
      <c r="D70" s="4">
        <v>86365</v>
      </c>
      <c r="E70" s="4">
        <v>85180</v>
      </c>
      <c r="F70" s="4">
        <v>64197</v>
      </c>
      <c r="G70" s="4">
        <v>69260</v>
      </c>
      <c r="H70" s="4">
        <v>63369</v>
      </c>
      <c r="I70" s="4">
        <v>96138</v>
      </c>
      <c r="J70" s="4">
        <v>53520</v>
      </c>
      <c r="K70" s="4">
        <v>44383</v>
      </c>
    </row>
    <row r="71" spans="1:12" x14ac:dyDescent="0.25">
      <c r="A71" s="15" t="s">
        <v>195</v>
      </c>
      <c r="B71" s="4"/>
      <c r="C71" s="4"/>
      <c r="D71" s="4">
        <v>62918</v>
      </c>
      <c r="E71" s="4">
        <v>72345</v>
      </c>
      <c r="F71" s="4">
        <v>64268</v>
      </c>
      <c r="G71" s="4">
        <v>62112</v>
      </c>
      <c r="H71" s="4">
        <v>61939</v>
      </c>
      <c r="I71" s="4">
        <v>27652</v>
      </c>
      <c r="J71" s="4">
        <v>50674</v>
      </c>
      <c r="K71" s="4">
        <v>9170</v>
      </c>
    </row>
    <row r="72" spans="1:12" x14ac:dyDescent="0.25">
      <c r="A72" s="15" t="s">
        <v>196</v>
      </c>
      <c r="B72" s="4"/>
      <c r="C72" s="4"/>
      <c r="D72" s="4">
        <v>424</v>
      </c>
      <c r="E72" s="4">
        <v>977</v>
      </c>
      <c r="F72" s="4">
        <v>1579</v>
      </c>
      <c r="G72" s="4">
        <v>2192</v>
      </c>
      <c r="H72" s="4">
        <v>3989</v>
      </c>
      <c r="I72" s="4">
        <v>5003</v>
      </c>
      <c r="J72" s="4">
        <v>5974</v>
      </c>
      <c r="K72" s="10" t="s">
        <v>46</v>
      </c>
    </row>
    <row r="73" spans="1:12" x14ac:dyDescent="0.25">
      <c r="A73" s="15" t="s">
        <v>197</v>
      </c>
      <c r="B73" s="4"/>
      <c r="C73" s="4"/>
      <c r="D73" s="4">
        <v>-2451</v>
      </c>
      <c r="E73" s="4">
        <v>-1246</v>
      </c>
      <c r="F73" s="4">
        <v>-329</v>
      </c>
      <c r="G73" s="4">
        <v>-321</v>
      </c>
      <c r="H73" s="4">
        <v>-13229</v>
      </c>
      <c r="I73" s="4">
        <v>-29521</v>
      </c>
      <c r="J73" s="4">
        <v>-17549</v>
      </c>
      <c r="K73" s="4">
        <v>-46</v>
      </c>
    </row>
    <row r="74" spans="1:12" x14ac:dyDescent="0.25">
      <c r="A74" s="16" t="s">
        <v>311</v>
      </c>
      <c r="B74" s="1"/>
      <c r="C74" s="1"/>
      <c r="D74" s="1">
        <f>SUM(D62,D65,D69:D72)</f>
        <v>33083385</v>
      </c>
      <c r="E74" s="1">
        <f t="shared" ref="E74:J74" si="19">SUM(E62,E65,E69:E72)</f>
        <v>33296995</v>
      </c>
      <c r="F74" s="1">
        <f t="shared" si="19"/>
        <v>34947552</v>
      </c>
      <c r="G74" s="1">
        <f t="shared" si="19"/>
        <v>35964079</v>
      </c>
      <c r="H74" s="1">
        <f t="shared" si="19"/>
        <v>35859621</v>
      </c>
      <c r="I74" s="1">
        <f t="shared" si="19"/>
        <v>35359519</v>
      </c>
      <c r="J74" s="1">
        <f t="shared" si="19"/>
        <v>31809873</v>
      </c>
      <c r="K74" s="1">
        <f>SUM(K62,K65,K69:K72)</f>
        <v>20298946</v>
      </c>
    </row>
    <row r="77" spans="1:12" x14ac:dyDescent="0.25">
      <c r="A77" s="13" t="s">
        <v>198</v>
      </c>
    </row>
    <row r="78" spans="1:12" x14ac:dyDescent="0.25">
      <c r="A78" s="13" t="s">
        <v>9</v>
      </c>
    </row>
    <row r="79" spans="1:12" x14ac:dyDescent="0.25">
      <c r="B79" s="6"/>
      <c r="C79" s="6"/>
      <c r="D79" s="6">
        <v>40695</v>
      </c>
      <c r="E79" s="6">
        <v>41061</v>
      </c>
      <c r="F79" s="6">
        <v>41426</v>
      </c>
      <c r="G79" s="6">
        <v>41791</v>
      </c>
      <c r="H79" s="6">
        <v>42156</v>
      </c>
      <c r="I79" s="6">
        <v>42522</v>
      </c>
      <c r="J79" s="6">
        <v>42887</v>
      </c>
      <c r="K79" s="6">
        <v>43252</v>
      </c>
    </row>
    <row r="80" spans="1:12" x14ac:dyDescent="0.25">
      <c r="A80" s="15" t="s">
        <v>199</v>
      </c>
      <c r="B80" s="4"/>
      <c r="C80" s="4"/>
      <c r="D80" s="4" t="s">
        <v>308</v>
      </c>
      <c r="E80" s="4" t="s">
        <v>308</v>
      </c>
      <c r="F80" s="4" t="s">
        <v>308</v>
      </c>
      <c r="G80" s="4" t="s">
        <v>308</v>
      </c>
      <c r="H80" s="4" t="s">
        <v>308</v>
      </c>
      <c r="I80" s="4">
        <v>3150</v>
      </c>
      <c r="J80" s="4">
        <v>9145</v>
      </c>
      <c r="K80" s="4">
        <v>9170</v>
      </c>
    </row>
    <row r="81" spans="1:11" x14ac:dyDescent="0.25">
      <c r="A81" s="15" t="s">
        <v>203</v>
      </c>
      <c r="B81" s="4"/>
      <c r="C81" s="4"/>
      <c r="D81" s="4" t="s">
        <v>308</v>
      </c>
      <c r="E81" s="4" t="s">
        <v>308</v>
      </c>
      <c r="F81" s="4" t="s">
        <v>308</v>
      </c>
      <c r="G81" s="4" t="s">
        <v>308</v>
      </c>
      <c r="H81" s="4" t="s">
        <v>308</v>
      </c>
      <c r="I81" s="4">
        <f>-I80*0.005</f>
        <v>-15.75</v>
      </c>
      <c r="J81" s="4">
        <f>-J80*0.005</f>
        <v>-45.725000000000001</v>
      </c>
      <c r="K81" s="4">
        <f>-K80*0.005</f>
        <v>-45.85</v>
      </c>
    </row>
    <row r="82" spans="1:11" x14ac:dyDescent="0.25">
      <c r="A82" s="15" t="s">
        <v>200</v>
      </c>
      <c r="B82" s="4"/>
      <c r="C82" s="4"/>
      <c r="D82" s="4" t="s">
        <v>308</v>
      </c>
      <c r="E82" s="4" t="s">
        <v>308</v>
      </c>
      <c r="F82" s="4" t="s">
        <v>308</v>
      </c>
      <c r="G82" s="4" t="s">
        <v>308</v>
      </c>
      <c r="H82" s="4" t="s">
        <v>308</v>
      </c>
      <c r="I82" s="4">
        <v>29505</v>
      </c>
      <c r="J82" s="4">
        <v>17503</v>
      </c>
      <c r="K82" s="10" t="s">
        <v>46</v>
      </c>
    </row>
    <row r="83" spans="1:11" x14ac:dyDescent="0.25">
      <c r="A83" s="15" t="s">
        <v>202</v>
      </c>
      <c r="B83" s="4"/>
      <c r="C83" s="4"/>
      <c r="D83" s="4" t="s">
        <v>308</v>
      </c>
      <c r="E83" s="4" t="s">
        <v>308</v>
      </c>
      <c r="F83" s="4" t="s">
        <v>308</v>
      </c>
      <c r="G83" s="4" t="s">
        <v>308</v>
      </c>
      <c r="H83" s="4" t="s">
        <v>308</v>
      </c>
      <c r="I83" s="4">
        <f>-I82</f>
        <v>-29505</v>
      </c>
      <c r="J83" s="4">
        <f>-J82</f>
        <v>-17503</v>
      </c>
      <c r="K83" s="10" t="s">
        <v>46</v>
      </c>
    </row>
    <row r="84" spans="1:11" x14ac:dyDescent="0.25">
      <c r="A84" s="16" t="s">
        <v>201</v>
      </c>
      <c r="B84" s="1"/>
      <c r="C84" s="1"/>
      <c r="D84" s="1" t="s">
        <v>308</v>
      </c>
      <c r="E84" s="1" t="s">
        <v>308</v>
      </c>
      <c r="F84" s="1" t="s">
        <v>308</v>
      </c>
      <c r="G84" s="1" t="s">
        <v>308</v>
      </c>
      <c r="H84" s="1" t="s">
        <v>308</v>
      </c>
      <c r="I84" s="1">
        <f>IFERROR((I83+I81)-(H83+H81),(I81+I83))</f>
        <v>-29520.75</v>
      </c>
      <c r="J84" s="1">
        <f>(J83+J81)-(I83+I81)</f>
        <v>11972.025000000001</v>
      </c>
      <c r="K84" s="1">
        <v>-17503</v>
      </c>
    </row>
    <row r="86" spans="1:11" x14ac:dyDescent="0.25">
      <c r="A86" s="13" t="s">
        <v>204</v>
      </c>
    </row>
    <row r="87" spans="1:11" x14ac:dyDescent="0.25">
      <c r="A87" s="13" t="s">
        <v>9</v>
      </c>
    </row>
    <row r="89" spans="1:11" x14ac:dyDescent="0.25">
      <c r="A89" s="13" t="s">
        <v>205</v>
      </c>
    </row>
    <row r="90" spans="1:11" x14ac:dyDescent="0.25">
      <c r="A90" s="13" t="s">
        <v>9</v>
      </c>
    </row>
    <row r="91" spans="1:11" x14ac:dyDescent="0.25">
      <c r="B91" s="6"/>
      <c r="C91" s="6"/>
      <c r="D91" s="6"/>
      <c r="E91" s="6"/>
      <c r="F91" s="6"/>
      <c r="G91" s="6"/>
      <c r="H91" s="6">
        <v>42156</v>
      </c>
      <c r="I91" s="6">
        <v>42522</v>
      </c>
      <c r="J91" s="6">
        <v>42887</v>
      </c>
      <c r="K91" s="6">
        <v>43252</v>
      </c>
    </row>
    <row r="92" spans="1:11" x14ac:dyDescent="0.25">
      <c r="A92" s="15" t="s">
        <v>199</v>
      </c>
      <c r="B92" s="10"/>
      <c r="C92" s="10"/>
      <c r="D92" s="10"/>
      <c r="E92" s="10"/>
      <c r="F92" s="10"/>
      <c r="G92" s="10"/>
      <c r="H92" s="10">
        <v>0</v>
      </c>
      <c r="I92" s="4">
        <v>-4</v>
      </c>
      <c r="J92" s="4">
        <v>-7633</v>
      </c>
      <c r="K92" s="4">
        <v>-18783</v>
      </c>
    </row>
    <row r="93" spans="1:11" x14ac:dyDescent="0.25">
      <c r="A93" s="16" t="s">
        <v>201</v>
      </c>
      <c r="B93" s="1"/>
      <c r="C93" s="1"/>
      <c r="D93" s="1"/>
      <c r="E93" s="1"/>
      <c r="F93" s="1"/>
      <c r="G93" s="1"/>
      <c r="H93" s="1">
        <f>H92</f>
        <v>0</v>
      </c>
      <c r="I93" s="1">
        <f>I92</f>
        <v>-4</v>
      </c>
      <c r="J93" s="1">
        <f>J92</f>
        <v>-7633</v>
      </c>
      <c r="K93" s="1">
        <f>K92</f>
        <v>-18783</v>
      </c>
    </row>
  </sheetData>
  <pageMargins left="0.511811024" right="0.511811024" top="0.78740157499999996" bottom="0.78740157499999996" header="0.31496062000000002" footer="0.31496062000000002"/>
  <ignoredErrors>
    <ignoredError sqref="D7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workbookViewId="0">
      <selection activeCell="J33" sqref="J33"/>
    </sheetView>
  </sheetViews>
  <sheetFormatPr defaultRowHeight="15" x14ac:dyDescent="0.25"/>
  <cols>
    <col min="1" max="1" width="35.85546875" customWidth="1"/>
    <col min="2" max="5" width="9.140625" customWidth="1"/>
    <col min="6" max="7" width="10.28515625" bestFit="1" customWidth="1"/>
  </cols>
  <sheetData>
    <row r="1" spans="1:9" x14ac:dyDescent="0.25">
      <c r="A1" s="13" t="s">
        <v>75</v>
      </c>
    </row>
    <row r="2" spans="1:9" x14ac:dyDescent="0.25">
      <c r="A2" s="13" t="s">
        <v>13</v>
      </c>
    </row>
    <row r="3" spans="1:9" x14ac:dyDescent="0.25">
      <c r="A3" s="13" t="s">
        <v>9</v>
      </c>
    </row>
    <row r="4" spans="1:9" x14ac:dyDescent="0.25">
      <c r="A4" s="13"/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9" s="12" customFormat="1" x14ac:dyDescent="0.25">
      <c r="A5" s="18" t="s">
        <v>76</v>
      </c>
      <c r="B5" s="43">
        <f>SUM(B6:B7)</f>
        <v>0</v>
      </c>
      <c r="C5" s="43">
        <v>800</v>
      </c>
      <c r="D5" s="43">
        <f>SUM(D6:D7)</f>
        <v>5053</v>
      </c>
      <c r="E5" s="43">
        <f>SUM(E6:E7)</f>
        <v>848</v>
      </c>
      <c r="F5" s="43">
        <f>SUM(F6:F7)</f>
        <v>42</v>
      </c>
      <c r="G5" s="43">
        <f>SUM(G6:G7)</f>
        <v>53</v>
      </c>
      <c r="H5" s="43">
        <f>SUM(H6:H7)</f>
        <v>197</v>
      </c>
      <c r="I5" s="43" t="s">
        <v>46</v>
      </c>
    </row>
    <row r="6" spans="1:9" x14ac:dyDescent="0.25">
      <c r="A6" s="15" t="s">
        <v>4</v>
      </c>
      <c r="B6" s="45" t="s">
        <v>46</v>
      </c>
      <c r="C6" s="45" t="s">
        <v>46</v>
      </c>
      <c r="D6" s="44">
        <v>2206</v>
      </c>
      <c r="E6" s="44">
        <v>710</v>
      </c>
      <c r="F6" s="44">
        <v>32</v>
      </c>
      <c r="G6" s="44">
        <v>53</v>
      </c>
      <c r="H6" s="44">
        <v>166</v>
      </c>
      <c r="I6" s="45" t="s">
        <v>46</v>
      </c>
    </row>
    <row r="7" spans="1:9" x14ac:dyDescent="0.25">
      <c r="A7" s="15" t="s">
        <v>3</v>
      </c>
      <c r="B7" s="45" t="s">
        <v>46</v>
      </c>
      <c r="C7" s="45" t="s">
        <v>46</v>
      </c>
      <c r="D7" s="44">
        <v>2847</v>
      </c>
      <c r="E7" s="45">
        <v>138</v>
      </c>
      <c r="F7" s="44">
        <v>10</v>
      </c>
      <c r="G7" s="45" t="s">
        <v>46</v>
      </c>
      <c r="H7" s="44">
        <v>31</v>
      </c>
      <c r="I7" s="45" t="s">
        <v>46</v>
      </c>
    </row>
    <row r="8" spans="1:9" s="12" customFormat="1" x14ac:dyDescent="0.25">
      <c r="A8" s="18" t="s">
        <v>268</v>
      </c>
      <c r="B8" s="43">
        <f>SUM(B9:B10)</f>
        <v>175938</v>
      </c>
      <c r="C8" s="43">
        <f>SUM(C9:C10)</f>
        <v>175938</v>
      </c>
      <c r="D8" s="43">
        <f>SUM(D9:D10)</f>
        <v>0</v>
      </c>
      <c r="E8" s="43">
        <f>SUM(E9:E10)</f>
        <v>0</v>
      </c>
      <c r="F8" s="43">
        <f>SUM(F9:F10)</f>
        <v>0</v>
      </c>
      <c r="G8" s="43" t="s">
        <v>46</v>
      </c>
      <c r="H8" s="43" t="s">
        <v>46</v>
      </c>
      <c r="I8" s="43" t="s">
        <v>46</v>
      </c>
    </row>
    <row r="9" spans="1:9" x14ac:dyDescent="0.25">
      <c r="A9" s="15" t="s">
        <v>269</v>
      </c>
      <c r="B9" s="44">
        <v>426961</v>
      </c>
      <c r="C9" s="44">
        <v>426961</v>
      </c>
      <c r="D9" s="44">
        <v>426961</v>
      </c>
      <c r="E9" s="44">
        <v>426961</v>
      </c>
      <c r="F9" s="45" t="s">
        <v>46</v>
      </c>
      <c r="G9" s="45" t="s">
        <v>46</v>
      </c>
      <c r="H9" s="45" t="s">
        <v>46</v>
      </c>
      <c r="I9" s="45" t="s">
        <v>46</v>
      </c>
    </row>
    <row r="10" spans="1:9" x14ac:dyDescent="0.25">
      <c r="A10" s="15" t="s">
        <v>270</v>
      </c>
      <c r="B10" s="45">
        <v>-251023</v>
      </c>
      <c r="C10" s="45">
        <v>-251023</v>
      </c>
      <c r="D10" s="45">
        <v>-426961</v>
      </c>
      <c r="E10" s="45">
        <v>-426961</v>
      </c>
      <c r="F10" s="45" t="s">
        <v>46</v>
      </c>
      <c r="G10" s="45" t="s">
        <v>46</v>
      </c>
      <c r="H10" s="45" t="s">
        <v>46</v>
      </c>
      <c r="I10" s="45" t="s">
        <v>46</v>
      </c>
    </row>
    <row r="11" spans="1:9" s="12" customFormat="1" x14ac:dyDescent="0.25">
      <c r="A11" s="18" t="s">
        <v>268</v>
      </c>
      <c r="B11" s="47" t="s">
        <v>46</v>
      </c>
      <c r="C11" s="43">
        <v>6487</v>
      </c>
      <c r="D11" s="47" t="s">
        <v>46</v>
      </c>
      <c r="E11" s="47" t="s">
        <v>46</v>
      </c>
      <c r="F11" s="47" t="s">
        <v>46</v>
      </c>
      <c r="G11" s="43" t="s">
        <v>46</v>
      </c>
      <c r="H11" s="43" t="s">
        <v>46</v>
      </c>
      <c r="I11" s="43" t="s">
        <v>46</v>
      </c>
    </row>
    <row r="12" spans="1:9" x14ac:dyDescent="0.25">
      <c r="A12" s="14" t="s">
        <v>8</v>
      </c>
      <c r="B12" s="46">
        <f>SUM(B5,B8,B11)</f>
        <v>175938</v>
      </c>
      <c r="C12" s="46">
        <f>SUM(C5,C8,C11)</f>
        <v>183225</v>
      </c>
      <c r="D12" s="46">
        <f t="shared" ref="D12:I12" si="0">SUM(D5,D8,D11)</f>
        <v>5053</v>
      </c>
      <c r="E12" s="46">
        <f t="shared" si="0"/>
        <v>848</v>
      </c>
      <c r="F12" s="46">
        <f>SUM(F5,F8,F11)</f>
        <v>42</v>
      </c>
      <c r="G12" s="46">
        <f t="shared" si="0"/>
        <v>53</v>
      </c>
      <c r="H12" s="46">
        <f t="shared" si="0"/>
        <v>197</v>
      </c>
      <c r="I12" s="46">
        <f t="shared" si="0"/>
        <v>0</v>
      </c>
    </row>
    <row r="14" spans="1:9" x14ac:dyDescent="0.25">
      <c r="A14" s="13" t="s">
        <v>253</v>
      </c>
    </row>
    <row r="15" spans="1:9" x14ac:dyDescent="0.25">
      <c r="A15" s="13" t="s">
        <v>9</v>
      </c>
    </row>
    <row r="16" spans="1:9" x14ac:dyDescent="0.25">
      <c r="A16" s="13"/>
      <c r="B16" s="6">
        <v>40695</v>
      </c>
      <c r="C16" s="6">
        <v>41061</v>
      </c>
      <c r="D16" s="6">
        <v>41426</v>
      </c>
      <c r="E16" s="6">
        <v>41791</v>
      </c>
      <c r="F16" s="6">
        <v>42156</v>
      </c>
      <c r="G16" s="6">
        <v>42522</v>
      </c>
      <c r="H16" s="6">
        <v>42887</v>
      </c>
      <c r="I16" s="6">
        <v>43252</v>
      </c>
    </row>
    <row r="17" spans="1:9" s="12" customFormat="1" x14ac:dyDescent="0.25">
      <c r="A17" s="18" t="s">
        <v>165</v>
      </c>
      <c r="B17" s="43" t="s">
        <v>46</v>
      </c>
      <c r="C17" s="43">
        <f t="shared" ref="C17:D17" si="1">B19</f>
        <v>-251023</v>
      </c>
      <c r="D17" s="43">
        <f t="shared" si="1"/>
        <v>-251023</v>
      </c>
      <c r="E17" s="43">
        <f>D19</f>
        <v>-426961</v>
      </c>
      <c r="F17" s="43">
        <f t="shared" ref="F17:G17" si="2">E19</f>
        <v>-426961</v>
      </c>
      <c r="G17" s="43">
        <f t="shared" si="2"/>
        <v>0</v>
      </c>
      <c r="H17" s="43">
        <f>G19</f>
        <v>0</v>
      </c>
      <c r="I17" s="43">
        <f>H19</f>
        <v>0</v>
      </c>
    </row>
    <row r="18" spans="1:9" x14ac:dyDescent="0.25">
      <c r="A18" s="15" t="s">
        <v>254</v>
      </c>
      <c r="B18" s="44">
        <v>-251023</v>
      </c>
      <c r="C18" s="45" t="s">
        <v>46</v>
      </c>
      <c r="D18" s="44">
        <v>-175938</v>
      </c>
      <c r="E18" s="45" t="s">
        <v>46</v>
      </c>
      <c r="F18" s="44">
        <v>426961</v>
      </c>
      <c r="G18" s="45" t="s">
        <v>46</v>
      </c>
      <c r="H18" s="45" t="s">
        <v>46</v>
      </c>
      <c r="I18" s="45" t="s">
        <v>46</v>
      </c>
    </row>
    <row r="19" spans="1:9" x14ac:dyDescent="0.25">
      <c r="A19" s="14" t="s">
        <v>8</v>
      </c>
      <c r="B19" s="46">
        <f>SUM(B17:B18)</f>
        <v>-251023</v>
      </c>
      <c r="C19" s="46">
        <f>SUM(C17:C18)</f>
        <v>-251023</v>
      </c>
      <c r="D19" s="46">
        <f>SUM(D17:D18)</f>
        <v>-426961</v>
      </c>
      <c r="E19" s="46">
        <f>SUM(E17:E18)</f>
        <v>-426961</v>
      </c>
      <c r="F19" s="46">
        <f>SUM(F17:F18)</f>
        <v>0</v>
      </c>
      <c r="G19" s="46">
        <f>G17</f>
        <v>0</v>
      </c>
      <c r="H19" s="46">
        <f>H17</f>
        <v>0</v>
      </c>
      <c r="I19" s="46">
        <f>I17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80" zoomScaleNormal="80" workbookViewId="0">
      <selection activeCell="I19" sqref="I19"/>
    </sheetView>
  </sheetViews>
  <sheetFormatPr defaultRowHeight="15" x14ac:dyDescent="0.25"/>
  <cols>
    <col min="1" max="1" width="21.140625" customWidth="1"/>
    <col min="2" max="5" width="9.140625" customWidth="1"/>
  </cols>
  <sheetData>
    <row r="1" spans="1:12" x14ac:dyDescent="0.25">
      <c r="A1" s="13" t="s">
        <v>84</v>
      </c>
    </row>
    <row r="2" spans="1:12" x14ac:dyDescent="0.25">
      <c r="A2" s="13" t="s">
        <v>13</v>
      </c>
    </row>
    <row r="3" spans="1:12" x14ac:dyDescent="0.25">
      <c r="A3" s="13" t="s">
        <v>9</v>
      </c>
    </row>
    <row r="4" spans="1:12" x14ac:dyDescent="0.25">
      <c r="A4" s="13"/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12" x14ac:dyDescent="0.25">
      <c r="A5" s="15" t="s">
        <v>3</v>
      </c>
      <c r="B5" s="4">
        <v>1717</v>
      </c>
      <c r="C5" s="4">
        <v>1082</v>
      </c>
      <c r="D5" s="4">
        <v>1089</v>
      </c>
      <c r="E5" s="4">
        <v>1197</v>
      </c>
      <c r="F5" s="4">
        <v>1432</v>
      </c>
      <c r="G5" s="4">
        <v>2687</v>
      </c>
      <c r="H5" s="4">
        <v>2186</v>
      </c>
      <c r="I5" s="4">
        <v>10291</v>
      </c>
    </row>
    <row r="6" spans="1:12" x14ac:dyDescent="0.25">
      <c r="A6" s="15" t="s">
        <v>4</v>
      </c>
      <c r="B6" s="4">
        <v>2991</v>
      </c>
      <c r="C6" s="4">
        <v>2774</v>
      </c>
      <c r="D6" s="4">
        <v>3505</v>
      </c>
      <c r="E6" s="4">
        <v>2988</v>
      </c>
      <c r="F6" s="4">
        <v>3612</v>
      </c>
      <c r="G6" s="4">
        <v>5086</v>
      </c>
      <c r="H6" s="4">
        <v>5983</v>
      </c>
      <c r="I6" s="4">
        <v>45929</v>
      </c>
    </row>
    <row r="7" spans="1:12" x14ac:dyDescent="0.25">
      <c r="A7" s="15" t="s">
        <v>6</v>
      </c>
      <c r="B7" s="10" t="s">
        <v>46</v>
      </c>
      <c r="C7" s="4">
        <v>690</v>
      </c>
      <c r="D7" s="10" t="s">
        <v>46</v>
      </c>
      <c r="E7" s="10" t="s">
        <v>46</v>
      </c>
      <c r="F7" s="10" t="s">
        <v>46</v>
      </c>
      <c r="G7" s="10" t="s">
        <v>46</v>
      </c>
      <c r="H7" s="10" t="s">
        <v>46</v>
      </c>
      <c r="I7" s="10">
        <v>137</v>
      </c>
    </row>
    <row r="8" spans="1:12" x14ac:dyDescent="0.25">
      <c r="A8" s="16" t="s">
        <v>8</v>
      </c>
      <c r="B8" s="1">
        <f t="shared" ref="B8:H8" si="0">SUM(B5:B7)</f>
        <v>4708</v>
      </c>
      <c r="C8" s="1">
        <f>SUM(C5:C7)</f>
        <v>4546</v>
      </c>
      <c r="D8" s="1">
        <f t="shared" si="0"/>
        <v>4594</v>
      </c>
      <c r="E8" s="1">
        <f t="shared" si="0"/>
        <v>4185</v>
      </c>
      <c r="F8" s="1">
        <f t="shared" si="0"/>
        <v>5044</v>
      </c>
      <c r="G8" s="1">
        <f t="shared" si="0"/>
        <v>7773</v>
      </c>
      <c r="H8" s="1">
        <f t="shared" si="0"/>
        <v>8169</v>
      </c>
      <c r="I8" s="1">
        <f>SUM(I5:I7)</f>
        <v>56357</v>
      </c>
    </row>
    <row r="9" spans="1:12" x14ac:dyDescent="0.25">
      <c r="A9" s="13"/>
    </row>
    <row r="10" spans="1:12" x14ac:dyDescent="0.25">
      <c r="A10" s="13" t="s">
        <v>85</v>
      </c>
      <c r="L10" s="2"/>
    </row>
    <row r="11" spans="1:12" x14ac:dyDescent="0.25">
      <c r="A11" s="13" t="s">
        <v>9</v>
      </c>
    </row>
    <row r="12" spans="1:12" x14ac:dyDescent="0.25">
      <c r="A12" s="13"/>
      <c r="B12" s="6">
        <v>40695</v>
      </c>
      <c r="C12" s="6">
        <v>41061</v>
      </c>
      <c r="D12" s="6">
        <v>41426</v>
      </c>
      <c r="E12" s="6">
        <v>41791</v>
      </c>
      <c r="F12" s="6">
        <v>42156</v>
      </c>
      <c r="G12" s="6">
        <v>42522</v>
      </c>
      <c r="H12" s="6">
        <v>42887</v>
      </c>
      <c r="I12" s="6">
        <v>43252</v>
      </c>
    </row>
    <row r="13" spans="1:12" x14ac:dyDescent="0.25">
      <c r="A13" s="15" t="s">
        <v>3</v>
      </c>
      <c r="B13" s="4">
        <v>-26613</v>
      </c>
      <c r="C13" s="4">
        <v>-22417</v>
      </c>
      <c r="D13" s="4">
        <v>-21847</v>
      </c>
      <c r="E13" s="4">
        <v>-24412</v>
      </c>
      <c r="F13" s="4">
        <v>-23604</v>
      </c>
      <c r="G13" s="4">
        <v>-30203</v>
      </c>
      <c r="H13" s="4">
        <v>-30726</v>
      </c>
      <c r="I13" s="4">
        <v>-73740</v>
      </c>
    </row>
    <row r="14" spans="1:12" x14ac:dyDescent="0.25">
      <c r="A14" s="15" t="s">
        <v>6</v>
      </c>
      <c r="B14" s="4">
        <v>-10209</v>
      </c>
      <c r="C14" s="4">
        <v>-10601</v>
      </c>
      <c r="D14" s="4">
        <v>-4212</v>
      </c>
      <c r="E14" s="4">
        <v>-1003</v>
      </c>
      <c r="F14" s="4">
        <v>-861</v>
      </c>
      <c r="G14" s="4">
        <v>-648</v>
      </c>
      <c r="H14" s="4">
        <v>-664</v>
      </c>
      <c r="I14" s="4">
        <v>-203290</v>
      </c>
    </row>
    <row r="15" spans="1:12" x14ac:dyDescent="0.25">
      <c r="A15" s="15" t="s">
        <v>4</v>
      </c>
      <c r="B15" s="4">
        <v>-51886</v>
      </c>
      <c r="C15" s="4">
        <v>-50859</v>
      </c>
      <c r="D15" s="4">
        <v>-58257</v>
      </c>
      <c r="E15" s="4">
        <v>-57108</v>
      </c>
      <c r="F15" s="4">
        <v>-57384</v>
      </c>
      <c r="G15" s="4">
        <v>-74985</v>
      </c>
      <c r="H15" s="4">
        <v>-77921</v>
      </c>
      <c r="I15" s="4">
        <v>-746</v>
      </c>
    </row>
    <row r="16" spans="1:12" x14ac:dyDescent="0.25">
      <c r="A16" s="16" t="s">
        <v>8</v>
      </c>
      <c r="B16" s="1">
        <f t="shared" ref="B16:I16" si="1">SUM(B13:B15)</f>
        <v>-88708</v>
      </c>
      <c r="C16" s="1">
        <f t="shared" si="1"/>
        <v>-83877</v>
      </c>
      <c r="D16" s="1">
        <f t="shared" si="1"/>
        <v>-84316</v>
      </c>
      <c r="E16" s="1">
        <f t="shared" si="1"/>
        <v>-82523</v>
      </c>
      <c r="F16" s="1">
        <f t="shared" si="1"/>
        <v>-81849</v>
      </c>
      <c r="G16" s="1">
        <f t="shared" si="1"/>
        <v>-105836</v>
      </c>
      <c r="H16" s="1">
        <f t="shared" si="1"/>
        <v>-109311</v>
      </c>
      <c r="I16" s="1">
        <f t="shared" si="1"/>
        <v>-277776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24" sqref="I24"/>
    </sheetView>
  </sheetViews>
  <sheetFormatPr defaultRowHeight="15" x14ac:dyDescent="0.25"/>
  <cols>
    <col min="1" max="1" width="16.42578125" customWidth="1"/>
    <col min="2" max="7" width="9.140625" customWidth="1"/>
  </cols>
  <sheetData>
    <row r="1" spans="1:13" x14ac:dyDescent="0.25">
      <c r="A1" s="13" t="s">
        <v>86</v>
      </c>
    </row>
    <row r="2" spans="1:13" x14ac:dyDescent="0.25">
      <c r="A2" s="13" t="s">
        <v>9</v>
      </c>
    </row>
    <row r="3" spans="1:13" x14ac:dyDescent="0.25">
      <c r="A3" s="13"/>
      <c r="B3" s="6">
        <v>39234</v>
      </c>
      <c r="C3" s="6">
        <v>39600</v>
      </c>
      <c r="D3" s="6">
        <v>39965</v>
      </c>
      <c r="E3" s="6">
        <v>40330</v>
      </c>
      <c r="F3" s="6">
        <v>40695</v>
      </c>
      <c r="G3" s="6">
        <v>41061</v>
      </c>
      <c r="H3" s="6">
        <v>41426</v>
      </c>
      <c r="I3" s="6">
        <v>41791</v>
      </c>
      <c r="J3" s="6">
        <v>42156</v>
      </c>
      <c r="K3" s="6">
        <v>42522</v>
      </c>
      <c r="L3" s="6">
        <v>42887</v>
      </c>
      <c r="M3" s="6">
        <v>43252</v>
      </c>
    </row>
    <row r="4" spans="1:13" x14ac:dyDescent="0.25">
      <c r="A4" s="15" t="s">
        <v>3</v>
      </c>
      <c r="B4" s="10" t="s">
        <v>308</v>
      </c>
      <c r="C4" s="10" t="s">
        <v>308</v>
      </c>
      <c r="D4" s="10" t="s">
        <v>308</v>
      </c>
      <c r="E4" s="10" t="s">
        <v>308</v>
      </c>
      <c r="F4" s="10" t="s">
        <v>308</v>
      </c>
      <c r="G4" s="10" t="s">
        <v>308</v>
      </c>
      <c r="H4" s="10" t="s">
        <v>308</v>
      </c>
      <c r="I4" s="10" t="s">
        <v>46</v>
      </c>
      <c r="J4" s="4">
        <v>559</v>
      </c>
      <c r="K4" s="4">
        <v>622</v>
      </c>
      <c r="L4" s="4">
        <v>644</v>
      </c>
      <c r="M4" s="10" t="s">
        <v>46</v>
      </c>
    </row>
    <row r="5" spans="1:13" x14ac:dyDescent="0.25">
      <c r="A5" s="15" t="s">
        <v>4</v>
      </c>
      <c r="B5" s="10" t="s">
        <v>308</v>
      </c>
      <c r="C5" s="10" t="s">
        <v>308</v>
      </c>
      <c r="D5" s="10" t="s">
        <v>308</v>
      </c>
      <c r="E5" s="10" t="s">
        <v>308</v>
      </c>
      <c r="F5" s="10" t="s">
        <v>308</v>
      </c>
      <c r="G5" s="10" t="s">
        <v>308</v>
      </c>
      <c r="H5" s="10" t="s">
        <v>308</v>
      </c>
      <c r="I5" s="10" t="s">
        <v>46</v>
      </c>
      <c r="J5" s="4">
        <v>2923</v>
      </c>
      <c r="K5" s="4">
        <v>3259</v>
      </c>
      <c r="L5" s="4">
        <v>3383</v>
      </c>
      <c r="M5" s="10" t="s">
        <v>46</v>
      </c>
    </row>
    <row r="6" spans="1:13" x14ac:dyDescent="0.25">
      <c r="A6" s="16" t="s">
        <v>8</v>
      </c>
      <c r="B6" s="1">
        <f t="shared" ref="B6:H6" si="0">SUM(B4:B5)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>SUM(I4:I5)</f>
        <v>0</v>
      </c>
      <c r="J6" s="1">
        <f>SUM(J4:J5)</f>
        <v>3482</v>
      </c>
      <c r="K6" s="1">
        <f>SUM(K4:K5)</f>
        <v>3881</v>
      </c>
      <c r="L6" s="1">
        <f>SUM(L4:L5)</f>
        <v>4027</v>
      </c>
      <c r="M6" s="1">
        <f>SUM(M4:M5)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0" zoomScaleNormal="80" workbookViewId="0">
      <selection activeCell="I21" sqref="I21"/>
    </sheetView>
  </sheetViews>
  <sheetFormatPr defaultRowHeight="15" x14ac:dyDescent="0.25"/>
  <cols>
    <col min="1" max="1" width="9.140625" style="13"/>
    <col min="2" max="4" width="9.140625" customWidth="1"/>
  </cols>
  <sheetData>
    <row r="1" spans="1:9" x14ac:dyDescent="0.25">
      <c r="A1" s="13" t="s">
        <v>167</v>
      </c>
    </row>
    <row r="2" spans="1:9" x14ac:dyDescent="0.25">
      <c r="A2" s="13" t="s">
        <v>168</v>
      </c>
    </row>
    <row r="3" spans="1:9" x14ac:dyDescent="0.25">
      <c r="A3" s="13" t="s">
        <v>9</v>
      </c>
    </row>
    <row r="4" spans="1:9" x14ac:dyDescent="0.25"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9" x14ac:dyDescent="0.25">
      <c r="A5" s="15" t="s">
        <v>6</v>
      </c>
      <c r="B5" s="4">
        <v>30359</v>
      </c>
      <c r="C5" s="4">
        <v>19890</v>
      </c>
      <c r="D5" s="4">
        <v>580997</v>
      </c>
      <c r="E5" s="4">
        <v>31260</v>
      </c>
      <c r="F5" s="4">
        <v>6579</v>
      </c>
      <c r="G5" s="4">
        <v>4546</v>
      </c>
      <c r="H5" s="4">
        <v>7144</v>
      </c>
      <c r="I5" s="4">
        <v>639</v>
      </c>
    </row>
    <row r="6" spans="1:9" x14ac:dyDescent="0.25">
      <c r="A6" s="16" t="s">
        <v>8</v>
      </c>
      <c r="B6" s="1">
        <f t="shared" ref="B6:H6" si="0">SUM(B5:B5)</f>
        <v>30359</v>
      </c>
      <c r="C6" s="1">
        <f t="shared" si="0"/>
        <v>19890</v>
      </c>
      <c r="D6" s="1">
        <f t="shared" si="0"/>
        <v>580997</v>
      </c>
      <c r="E6" s="1">
        <f t="shared" si="0"/>
        <v>31260</v>
      </c>
      <c r="F6" s="1">
        <f t="shared" si="0"/>
        <v>6579</v>
      </c>
      <c r="G6" s="1">
        <f t="shared" si="0"/>
        <v>4546</v>
      </c>
      <c r="H6" s="1">
        <f t="shared" si="0"/>
        <v>7144</v>
      </c>
      <c r="I6" s="1">
        <f t="shared" ref="I6" si="1">SUM(I5:I5)</f>
        <v>639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>
      <selection activeCell="H18" sqref="H18"/>
    </sheetView>
  </sheetViews>
  <sheetFormatPr defaultRowHeight="15" x14ac:dyDescent="0.25"/>
  <cols>
    <col min="1" max="1" width="14.42578125" customWidth="1"/>
    <col min="2" max="3" width="9.140625" customWidth="1"/>
    <col min="4" max="8" width="11" bestFit="1" customWidth="1"/>
    <col min="11" max="11" width="13.42578125" bestFit="1" customWidth="1"/>
  </cols>
  <sheetData>
    <row r="1" spans="1:10" x14ac:dyDescent="0.25">
      <c r="A1" s="13" t="s">
        <v>185</v>
      </c>
    </row>
    <row r="2" spans="1:10" x14ac:dyDescent="0.25">
      <c r="A2" s="13" t="s">
        <v>189</v>
      </c>
    </row>
    <row r="3" spans="1:10" x14ac:dyDescent="0.25">
      <c r="A3" s="13" t="s">
        <v>9</v>
      </c>
    </row>
    <row r="4" spans="1:10" x14ac:dyDescent="0.25">
      <c r="A4" s="13"/>
      <c r="B4" s="6">
        <v>40695</v>
      </c>
      <c r="C4" s="6">
        <v>41061</v>
      </c>
      <c r="D4" s="6">
        <v>41426</v>
      </c>
      <c r="E4" s="6">
        <v>41791</v>
      </c>
      <c r="F4" s="6">
        <v>42156</v>
      </c>
      <c r="G4" s="6">
        <v>42522</v>
      </c>
      <c r="H4" s="6">
        <v>42887</v>
      </c>
      <c r="I4" s="6">
        <v>43252</v>
      </c>
    </row>
    <row r="5" spans="1:10" x14ac:dyDescent="0.25">
      <c r="A5" s="15" t="s">
        <v>187</v>
      </c>
      <c r="B5" s="10" t="s">
        <v>46</v>
      </c>
      <c r="C5" s="10" t="s">
        <v>46</v>
      </c>
      <c r="D5" s="10" t="s">
        <v>46</v>
      </c>
      <c r="E5" s="10" t="s">
        <v>46</v>
      </c>
      <c r="F5" s="10" t="s">
        <v>46</v>
      </c>
      <c r="G5" s="4">
        <v>-298211</v>
      </c>
      <c r="H5" s="4">
        <v>-376571</v>
      </c>
      <c r="I5" s="4">
        <v>-206480</v>
      </c>
    </row>
    <row r="6" spans="1:10" x14ac:dyDescent="0.25">
      <c r="A6" s="15" t="s">
        <v>188</v>
      </c>
      <c r="B6" s="10" t="s">
        <v>46</v>
      </c>
      <c r="C6" s="10" t="s">
        <v>46</v>
      </c>
      <c r="D6" s="10" t="s">
        <v>46</v>
      </c>
      <c r="E6" s="10" t="s">
        <v>46</v>
      </c>
      <c r="F6" s="10" t="s">
        <v>46</v>
      </c>
      <c r="G6" s="4">
        <v>-74455</v>
      </c>
      <c r="H6" s="4">
        <v>-92599</v>
      </c>
      <c r="I6" s="4">
        <v>-47405</v>
      </c>
    </row>
    <row r="7" spans="1:10" x14ac:dyDescent="0.25">
      <c r="A7" s="16" t="s">
        <v>8</v>
      </c>
      <c r="B7" s="1">
        <f t="shared" ref="B7:G7" si="0">SUM(B5:B6)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-372666</v>
      </c>
      <c r="H7" s="1">
        <f>SUM(H5:H6)</f>
        <v>-469170</v>
      </c>
      <c r="I7" s="1">
        <f>SUM(I5:I6)</f>
        <v>-253885</v>
      </c>
      <c r="J7" s="2"/>
    </row>
    <row r="8" spans="1:10" x14ac:dyDescent="0.25">
      <c r="A8" s="13"/>
      <c r="B8" s="28"/>
      <c r="C8" s="28"/>
      <c r="D8" s="28"/>
      <c r="E8" s="28"/>
      <c r="F8" s="28"/>
      <c r="G8" s="28"/>
      <c r="H8" s="28"/>
      <c r="I8" s="28"/>
    </row>
    <row r="9" spans="1:10" x14ac:dyDescent="0.25">
      <c r="A9" s="13" t="s">
        <v>186</v>
      </c>
      <c r="B9" s="28"/>
      <c r="C9" s="28"/>
      <c r="D9" s="28"/>
      <c r="E9" s="28"/>
      <c r="F9" s="28"/>
      <c r="G9" s="28"/>
      <c r="H9" s="28"/>
      <c r="I9" s="28"/>
    </row>
    <row r="10" spans="1:10" x14ac:dyDescent="0.25">
      <c r="A10" s="13" t="s">
        <v>9</v>
      </c>
      <c r="B10" s="28"/>
      <c r="C10" s="28"/>
      <c r="D10" s="28"/>
      <c r="E10" s="28"/>
      <c r="F10" s="28"/>
      <c r="G10" s="28"/>
      <c r="H10" s="28"/>
      <c r="I10" s="28"/>
    </row>
    <row r="11" spans="1:10" x14ac:dyDescent="0.25">
      <c r="A11" s="13"/>
      <c r="B11" s="6">
        <v>40695</v>
      </c>
      <c r="C11" s="6">
        <v>41061</v>
      </c>
      <c r="D11" s="6">
        <v>41426</v>
      </c>
      <c r="E11" s="6">
        <v>41791</v>
      </c>
      <c r="F11" s="6">
        <v>42156</v>
      </c>
      <c r="G11" s="6">
        <v>42522</v>
      </c>
      <c r="H11" s="6">
        <v>42887</v>
      </c>
      <c r="I11" s="6">
        <v>43252</v>
      </c>
    </row>
    <row r="12" spans="1:10" x14ac:dyDescent="0.25">
      <c r="A12" s="15" t="s">
        <v>187</v>
      </c>
      <c r="B12" s="4">
        <v>-748834</v>
      </c>
      <c r="C12" s="4">
        <v>-765795</v>
      </c>
      <c r="D12" s="4">
        <v>-783310</v>
      </c>
      <c r="E12" s="4">
        <v>-808158</v>
      </c>
      <c r="F12" s="4">
        <v>-828356</v>
      </c>
      <c r="G12" s="4">
        <v>-852375</v>
      </c>
      <c r="H12" s="4">
        <v>-882317</v>
      </c>
      <c r="I12" s="4">
        <v>-790584</v>
      </c>
    </row>
    <row r="13" spans="1:10" x14ac:dyDescent="0.25">
      <c r="A13" s="15" t="s">
        <v>188</v>
      </c>
      <c r="B13" s="4">
        <v>-201636</v>
      </c>
      <c r="C13" s="4">
        <v>-202676</v>
      </c>
      <c r="D13" s="4">
        <v>-207394</v>
      </c>
      <c r="E13" s="4">
        <v>-209674</v>
      </c>
      <c r="F13" s="4">
        <v>-213703</v>
      </c>
      <c r="G13" s="4">
        <v>-212843</v>
      </c>
      <c r="H13" s="4">
        <v>-216963</v>
      </c>
      <c r="I13" s="4">
        <v>-181442</v>
      </c>
    </row>
    <row r="14" spans="1:10" x14ac:dyDescent="0.25">
      <c r="A14" s="16" t="s">
        <v>8</v>
      </c>
      <c r="B14" s="1">
        <f t="shared" ref="B14:I14" si="1">SUM(B12:B13)</f>
        <v>-950470</v>
      </c>
      <c r="C14" s="1">
        <f t="shared" si="1"/>
        <v>-968471</v>
      </c>
      <c r="D14" s="1">
        <f t="shared" si="1"/>
        <v>-990704</v>
      </c>
      <c r="E14" s="1">
        <f t="shared" si="1"/>
        <v>-1017832</v>
      </c>
      <c r="F14" s="1">
        <f t="shared" si="1"/>
        <v>-1042059</v>
      </c>
      <c r="G14" s="1">
        <f t="shared" si="1"/>
        <v>-1065218</v>
      </c>
      <c r="H14" s="1">
        <f t="shared" si="1"/>
        <v>-1099280</v>
      </c>
      <c r="I14" s="1">
        <f t="shared" si="1"/>
        <v>-972026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I5" sqref="I5"/>
    </sheetView>
  </sheetViews>
  <sheetFormatPr defaultRowHeight="15" x14ac:dyDescent="0.25"/>
  <cols>
    <col min="1" max="1" width="43.28515625" style="13" customWidth="1"/>
    <col min="2" max="2" width="8.5703125" customWidth="1"/>
    <col min="3" max="3" width="9.140625" customWidth="1"/>
    <col min="6" max="8" width="8.7109375" customWidth="1"/>
  </cols>
  <sheetData>
    <row r="1" spans="1:9" x14ac:dyDescent="0.25">
      <c r="A1" s="13" t="s">
        <v>252</v>
      </c>
    </row>
    <row r="2" spans="1:9" x14ac:dyDescent="0.25">
      <c r="A2" s="13" t="s">
        <v>9</v>
      </c>
    </row>
    <row r="3" spans="1:9" x14ac:dyDescent="0.25">
      <c r="B3" s="6">
        <v>40695</v>
      </c>
      <c r="C3" s="6">
        <v>41061</v>
      </c>
      <c r="D3" s="6">
        <v>41426</v>
      </c>
      <c r="E3" s="6">
        <v>41791</v>
      </c>
      <c r="F3" s="6">
        <v>42156</v>
      </c>
      <c r="G3" s="6">
        <v>42522</v>
      </c>
      <c r="H3" s="6">
        <v>42887</v>
      </c>
      <c r="I3" s="6">
        <v>43252</v>
      </c>
    </row>
    <row r="4" spans="1:9" x14ac:dyDescent="0.25">
      <c r="A4" s="15" t="s">
        <v>169</v>
      </c>
      <c r="B4" s="4">
        <v>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11</v>
      </c>
      <c r="I4" s="4" t="s">
        <v>46</v>
      </c>
    </row>
    <row r="5" spans="1:9" x14ac:dyDescent="0.25">
      <c r="A5" s="15" t="s">
        <v>170</v>
      </c>
      <c r="B5" s="4">
        <v>8</v>
      </c>
      <c r="C5" s="4">
        <v>10</v>
      </c>
      <c r="D5" s="4">
        <v>2</v>
      </c>
      <c r="E5" s="4">
        <v>6</v>
      </c>
      <c r="F5" s="4">
        <v>7</v>
      </c>
      <c r="G5" s="4">
        <v>9</v>
      </c>
      <c r="H5" s="4">
        <v>7</v>
      </c>
      <c r="I5" s="4">
        <v>19</v>
      </c>
    </row>
    <row r="6" spans="1:9" x14ac:dyDescent="0.25">
      <c r="A6" s="15" t="s">
        <v>171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4">
        <v>-399</v>
      </c>
      <c r="H6" s="4">
        <v>-146</v>
      </c>
      <c r="I6" s="4">
        <v>-89</v>
      </c>
    </row>
    <row r="7" spans="1:9" x14ac:dyDescent="0.25">
      <c r="A7" s="15" t="s">
        <v>172</v>
      </c>
      <c r="B7" s="4">
        <v>-62</v>
      </c>
      <c r="C7" s="4">
        <v>-124</v>
      </c>
      <c r="D7" s="4">
        <v>-133</v>
      </c>
      <c r="E7" s="4">
        <v>-133</v>
      </c>
      <c r="F7" s="4">
        <v>-154</v>
      </c>
      <c r="G7" s="4">
        <v>-157</v>
      </c>
      <c r="H7" s="4">
        <v>-79</v>
      </c>
      <c r="I7" s="4">
        <v>-80</v>
      </c>
    </row>
    <row r="8" spans="1:9" x14ac:dyDescent="0.25">
      <c r="A8" s="15" t="s">
        <v>302</v>
      </c>
      <c r="B8" s="4">
        <v>-9221</v>
      </c>
      <c r="C8" s="10">
        <v>0</v>
      </c>
      <c r="D8" s="4">
        <v>0</v>
      </c>
      <c r="E8" s="10">
        <v>0</v>
      </c>
      <c r="F8" s="4">
        <v>-3482</v>
      </c>
      <c r="G8" s="4">
        <v>-1</v>
      </c>
      <c r="H8" s="4">
        <v>-1</v>
      </c>
      <c r="I8" s="4" t="s">
        <v>46</v>
      </c>
    </row>
    <row r="9" spans="1:9" x14ac:dyDescent="0.25">
      <c r="A9" s="16" t="s">
        <v>8</v>
      </c>
      <c r="B9" s="1">
        <f t="shared" ref="B9:G9" si="0">SUM(B4:B8)</f>
        <v>-9271</v>
      </c>
      <c r="C9" s="1">
        <f t="shared" si="0"/>
        <v>-113</v>
      </c>
      <c r="D9" s="1">
        <f t="shared" si="0"/>
        <v>-130</v>
      </c>
      <c r="E9" s="1">
        <f t="shared" si="0"/>
        <v>-126</v>
      </c>
      <c r="F9" s="1">
        <f t="shared" si="0"/>
        <v>-3628</v>
      </c>
      <c r="G9" s="1">
        <f t="shared" si="0"/>
        <v>-547</v>
      </c>
      <c r="H9" s="1">
        <f>SUM(H4:H8)</f>
        <v>-208</v>
      </c>
      <c r="I9" s="1">
        <f>SUM(I4:I8)</f>
        <v>-150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7" sqref="A27"/>
    </sheetView>
  </sheetViews>
  <sheetFormatPr defaultRowHeight="15" x14ac:dyDescent="0.25"/>
  <cols>
    <col min="1" max="1" width="42.5703125" style="12" customWidth="1"/>
    <col min="2" max="2" width="15.85546875" style="12" bestFit="1" customWidth="1"/>
    <col min="3" max="5" width="14.28515625" style="12" bestFit="1" customWidth="1"/>
    <col min="6" max="8" width="13.28515625" style="12" bestFit="1" customWidth="1"/>
    <col min="9" max="9" width="14.28515625" style="12" bestFit="1" customWidth="1"/>
    <col min="10" max="16384" width="9.140625" style="12"/>
  </cols>
  <sheetData>
    <row r="1" spans="1:9" x14ac:dyDescent="0.25">
      <c r="B1" s="12" t="s">
        <v>397</v>
      </c>
    </row>
    <row r="2" spans="1:9" ht="15.75" thickBot="1" x14ac:dyDescent="0.3">
      <c r="G2" s="12" t="s">
        <v>317</v>
      </c>
    </row>
    <row r="3" spans="1:9" ht="15.75" thickBot="1" x14ac:dyDescent="0.3">
      <c r="A3" s="88"/>
      <c r="B3" s="89">
        <v>40695</v>
      </c>
      <c r="C3" s="60">
        <v>41061</v>
      </c>
      <c r="D3" s="60">
        <v>41426</v>
      </c>
      <c r="E3" s="60">
        <v>41791</v>
      </c>
      <c r="F3" s="60">
        <v>42156</v>
      </c>
      <c r="G3" s="60">
        <v>42522</v>
      </c>
      <c r="H3" s="60">
        <v>42887</v>
      </c>
      <c r="I3" s="61">
        <v>43252</v>
      </c>
    </row>
    <row r="4" spans="1:9" x14ac:dyDescent="0.25">
      <c r="A4" s="91" t="s">
        <v>21</v>
      </c>
      <c r="B4" s="126">
        <v>1135349</v>
      </c>
      <c r="C4" s="127">
        <v>930592</v>
      </c>
      <c r="D4" s="127">
        <v>758947</v>
      </c>
      <c r="E4" s="127">
        <v>125793</v>
      </c>
      <c r="F4" s="127">
        <v>96249</v>
      </c>
      <c r="G4" s="127">
        <v>79791</v>
      </c>
      <c r="H4" s="127">
        <v>95619</v>
      </c>
      <c r="I4" s="128">
        <v>129661</v>
      </c>
    </row>
    <row r="5" spans="1:9" x14ac:dyDescent="0.25">
      <c r="A5" s="85" t="s">
        <v>23</v>
      </c>
      <c r="B5" s="129">
        <v>1133779</v>
      </c>
      <c r="C5" s="130">
        <v>928750</v>
      </c>
      <c r="D5" s="130">
        <v>756860</v>
      </c>
      <c r="E5" s="130">
        <v>123382</v>
      </c>
      <c r="F5" s="130">
        <v>93384</v>
      </c>
      <c r="G5" s="130">
        <v>76305</v>
      </c>
      <c r="H5" s="130">
        <v>91505</v>
      </c>
      <c r="I5" s="131">
        <v>126609</v>
      </c>
    </row>
    <row r="6" spans="1:9" x14ac:dyDescent="0.25">
      <c r="A6" s="85" t="s">
        <v>24</v>
      </c>
      <c r="B6" s="129">
        <v>1570</v>
      </c>
      <c r="C6" s="130">
        <v>1842</v>
      </c>
      <c r="D6" s="130">
        <v>2087</v>
      </c>
      <c r="E6" s="130">
        <v>2411</v>
      </c>
      <c r="F6" s="130">
        <v>2865</v>
      </c>
      <c r="G6" s="130">
        <v>3486</v>
      </c>
      <c r="H6" s="130">
        <v>4114</v>
      </c>
      <c r="I6" s="131">
        <v>3052</v>
      </c>
    </row>
    <row r="7" spans="1:9" x14ac:dyDescent="0.25">
      <c r="A7" s="91" t="s">
        <v>22</v>
      </c>
      <c r="B7" s="132">
        <v>78</v>
      </c>
      <c r="C7" s="133">
        <v>83</v>
      </c>
      <c r="D7" s="133">
        <v>88</v>
      </c>
      <c r="E7" s="133">
        <v>93</v>
      </c>
      <c r="F7" s="133">
        <v>98</v>
      </c>
      <c r="G7" s="133">
        <v>111</v>
      </c>
      <c r="H7" s="133">
        <v>110</v>
      </c>
      <c r="I7" s="134">
        <v>117</v>
      </c>
    </row>
    <row r="8" spans="1:9" x14ac:dyDescent="0.25">
      <c r="A8" s="85" t="s">
        <v>25</v>
      </c>
      <c r="B8" s="129">
        <v>78</v>
      </c>
      <c r="C8" s="130">
        <v>83</v>
      </c>
      <c r="D8" s="130">
        <v>88</v>
      </c>
      <c r="E8" s="130">
        <v>93</v>
      </c>
      <c r="F8" s="130">
        <v>98</v>
      </c>
      <c r="G8" s="130">
        <v>111</v>
      </c>
      <c r="H8" s="130">
        <v>110</v>
      </c>
      <c r="I8" s="131">
        <v>117</v>
      </c>
    </row>
    <row r="9" spans="1:9" x14ac:dyDescent="0.25">
      <c r="A9" s="85" t="s">
        <v>309</v>
      </c>
      <c r="B9" s="135" t="s">
        <v>46</v>
      </c>
      <c r="C9" s="136" t="s">
        <v>46</v>
      </c>
      <c r="D9" s="136" t="s">
        <v>46</v>
      </c>
      <c r="E9" s="136" t="s">
        <v>46</v>
      </c>
      <c r="F9" s="136" t="s">
        <v>46</v>
      </c>
      <c r="G9" s="136" t="s">
        <v>46</v>
      </c>
      <c r="H9" s="136" t="s">
        <v>46</v>
      </c>
      <c r="I9" s="137" t="s">
        <v>46</v>
      </c>
    </row>
    <row r="10" spans="1:9" ht="15.75" thickBot="1" x14ac:dyDescent="0.3">
      <c r="A10" s="92" t="s">
        <v>8</v>
      </c>
      <c r="B10" s="138">
        <v>1135427</v>
      </c>
      <c r="C10" s="139">
        <v>930675</v>
      </c>
      <c r="D10" s="139">
        <v>759035</v>
      </c>
      <c r="E10" s="139">
        <v>125886</v>
      </c>
      <c r="F10" s="139">
        <v>96347</v>
      </c>
      <c r="G10" s="139">
        <v>79902</v>
      </c>
      <c r="H10" s="139">
        <v>95729</v>
      </c>
      <c r="I10" s="140">
        <v>129778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80" zoomScaleNormal="80" workbookViewId="0">
      <pane xSplit="1" topLeftCell="K1" activePane="topRight" state="frozen"/>
      <selection pane="topRight" activeCell="Y56" sqref="Y56"/>
    </sheetView>
  </sheetViews>
  <sheetFormatPr defaultRowHeight="15" x14ac:dyDescent="0.25"/>
  <cols>
    <col min="1" max="1" width="45.85546875" customWidth="1"/>
    <col min="2" max="5" width="11.42578125" customWidth="1"/>
    <col min="6" max="19" width="13.140625" customWidth="1"/>
    <col min="20" max="22" width="11.42578125" customWidth="1"/>
    <col min="23" max="23" width="11.140625" customWidth="1"/>
  </cols>
  <sheetData>
    <row r="1" spans="1:13" x14ac:dyDescent="0.25">
      <c r="A1" t="s">
        <v>87</v>
      </c>
    </row>
    <row r="2" spans="1:13" hidden="1" x14ac:dyDescent="0.25">
      <c r="A2" t="s">
        <v>88</v>
      </c>
    </row>
    <row r="3" spans="1:13" hidden="1" x14ac:dyDescent="0.25">
      <c r="A3" t="s">
        <v>89</v>
      </c>
    </row>
    <row r="4" spans="1:13" hidden="1" x14ac:dyDescent="0.25">
      <c r="A4" t="s">
        <v>90</v>
      </c>
    </row>
    <row r="5" spans="1:13" hidden="1" x14ac:dyDescent="0.25">
      <c r="M5" t="s">
        <v>91</v>
      </c>
    </row>
    <row r="6" spans="1:13" hidden="1" x14ac:dyDescent="0.25">
      <c r="M6" t="s">
        <v>92</v>
      </c>
    </row>
    <row r="7" spans="1:13" hidden="1" x14ac:dyDescent="0.25">
      <c r="M7" t="s">
        <v>93</v>
      </c>
    </row>
    <row r="8" spans="1:13" hidden="1" x14ac:dyDescent="0.25">
      <c r="M8" t="s">
        <v>94</v>
      </c>
    </row>
    <row r="9" spans="1:13" hidden="1" x14ac:dyDescent="0.25">
      <c r="A9" t="s">
        <v>95</v>
      </c>
    </row>
    <row r="10" spans="1:13" hidden="1" x14ac:dyDescent="0.25">
      <c r="A10" t="s">
        <v>96</v>
      </c>
    </row>
    <row r="11" spans="1:13" hidden="1" x14ac:dyDescent="0.25">
      <c r="M11" t="s">
        <v>97</v>
      </c>
    </row>
    <row r="12" spans="1:13" hidden="1" x14ac:dyDescent="0.25">
      <c r="M12" t="s">
        <v>98</v>
      </c>
    </row>
    <row r="13" spans="1:13" hidden="1" x14ac:dyDescent="0.25">
      <c r="A13" t="s">
        <v>99</v>
      </c>
    </row>
    <row r="14" spans="1:13" hidden="1" x14ac:dyDescent="0.25">
      <c r="A14" t="s">
        <v>100</v>
      </c>
    </row>
    <row r="15" spans="1:13" hidden="1" x14ac:dyDescent="0.25">
      <c r="M15" t="s">
        <v>101</v>
      </c>
    </row>
    <row r="16" spans="1:13" hidden="1" x14ac:dyDescent="0.25">
      <c r="M16" t="s">
        <v>102</v>
      </c>
    </row>
    <row r="17" spans="1:13" hidden="1" x14ac:dyDescent="0.25">
      <c r="M17" t="s">
        <v>103</v>
      </c>
    </row>
    <row r="18" spans="1:13" hidden="1" x14ac:dyDescent="0.25">
      <c r="M18" t="s">
        <v>104</v>
      </c>
    </row>
    <row r="19" spans="1:13" hidden="1" x14ac:dyDescent="0.25">
      <c r="M19" t="s">
        <v>105</v>
      </c>
    </row>
    <row r="20" spans="1:13" hidden="1" x14ac:dyDescent="0.25">
      <c r="M20" t="s">
        <v>106</v>
      </c>
    </row>
    <row r="21" spans="1:13" hidden="1" x14ac:dyDescent="0.25">
      <c r="M21" t="s">
        <v>107</v>
      </c>
    </row>
    <row r="22" spans="1:13" hidden="1" x14ac:dyDescent="0.25">
      <c r="M22" t="s">
        <v>108</v>
      </c>
    </row>
    <row r="23" spans="1:13" hidden="1" x14ac:dyDescent="0.25">
      <c r="M23" t="s">
        <v>109</v>
      </c>
    </row>
    <row r="24" spans="1:13" hidden="1" x14ac:dyDescent="0.25">
      <c r="A24" t="s">
        <v>110</v>
      </c>
    </row>
    <row r="25" spans="1:13" hidden="1" x14ac:dyDescent="0.25">
      <c r="A25" t="s">
        <v>111</v>
      </c>
    </row>
    <row r="26" spans="1:13" hidden="1" x14ac:dyDescent="0.25">
      <c r="M26" t="s">
        <v>255</v>
      </c>
    </row>
    <row r="27" spans="1:13" hidden="1" x14ac:dyDescent="0.25">
      <c r="M27" t="s">
        <v>256</v>
      </c>
    </row>
    <row r="28" spans="1:13" hidden="1" x14ac:dyDescent="0.25">
      <c r="M28" t="s">
        <v>257</v>
      </c>
    </row>
    <row r="29" spans="1:13" hidden="1" x14ac:dyDescent="0.25">
      <c r="A29" t="s">
        <v>112</v>
      </c>
    </row>
    <row r="30" spans="1:13" hidden="1" x14ac:dyDescent="0.25">
      <c r="A30" t="s">
        <v>113</v>
      </c>
    </row>
    <row r="31" spans="1:13" hidden="1" x14ac:dyDescent="0.25">
      <c r="M31" t="s">
        <v>116</v>
      </c>
    </row>
    <row r="32" spans="1:13" hidden="1" x14ac:dyDescent="0.25">
      <c r="M32" t="s">
        <v>114</v>
      </c>
    </row>
    <row r="33" spans="1:20" hidden="1" x14ac:dyDescent="0.25">
      <c r="A33" t="s">
        <v>115</v>
      </c>
    </row>
    <row r="34" spans="1:20" hidden="1" x14ac:dyDescent="0.25">
      <c r="M34" t="s">
        <v>117</v>
      </c>
    </row>
    <row r="35" spans="1:20" hidden="1" x14ac:dyDescent="0.25">
      <c r="M35" t="s">
        <v>118</v>
      </c>
    </row>
    <row r="36" spans="1:20" hidden="1" x14ac:dyDescent="0.25">
      <c r="A36" t="s">
        <v>119</v>
      </c>
    </row>
    <row r="37" spans="1:20" hidden="1" x14ac:dyDescent="0.25">
      <c r="M37" t="s">
        <v>120</v>
      </c>
    </row>
    <row r="38" spans="1:20" hidden="1" x14ac:dyDescent="0.25">
      <c r="M38" t="s">
        <v>121</v>
      </c>
    </row>
    <row r="39" spans="1:20" hidden="1" x14ac:dyDescent="0.25">
      <c r="N39" t="s">
        <v>122</v>
      </c>
    </row>
    <row r="40" spans="1:20" hidden="1" x14ac:dyDescent="0.25">
      <c r="N40" t="s">
        <v>123</v>
      </c>
    </row>
    <row r="41" spans="1:20" hidden="1" x14ac:dyDescent="0.25"/>
    <row r="42" spans="1:20" x14ac:dyDescent="0.25">
      <c r="A42" t="s">
        <v>124</v>
      </c>
    </row>
    <row r="43" spans="1:20" x14ac:dyDescent="0.25">
      <c r="A43" s="13" t="s">
        <v>9</v>
      </c>
    </row>
    <row r="44" spans="1:20" x14ac:dyDescent="0.25">
      <c r="A44" s="13"/>
      <c r="B44" s="8">
        <v>36678</v>
      </c>
      <c r="C44" s="8">
        <v>37043</v>
      </c>
      <c r="D44" s="8">
        <v>37408</v>
      </c>
      <c r="E44" s="8">
        <v>37773</v>
      </c>
      <c r="F44" s="8">
        <v>38139</v>
      </c>
      <c r="G44" s="8">
        <v>38504</v>
      </c>
      <c r="H44" s="8">
        <v>38869</v>
      </c>
      <c r="I44" s="8">
        <v>39234</v>
      </c>
      <c r="J44" s="8">
        <v>39600</v>
      </c>
      <c r="K44" s="8">
        <v>39965</v>
      </c>
      <c r="L44" s="8">
        <v>40330</v>
      </c>
      <c r="M44" s="8">
        <v>40695</v>
      </c>
      <c r="N44" s="8">
        <v>41061</v>
      </c>
      <c r="O44" s="8">
        <v>41426</v>
      </c>
      <c r="P44" s="8">
        <v>41791</v>
      </c>
      <c r="Q44" s="8">
        <v>42156</v>
      </c>
      <c r="R44" s="8">
        <v>42522</v>
      </c>
      <c r="S44" s="8">
        <v>42887</v>
      </c>
      <c r="T44" s="8">
        <v>43252</v>
      </c>
    </row>
    <row r="45" spans="1:20" x14ac:dyDescent="0.25">
      <c r="A45" s="14" t="s">
        <v>125</v>
      </c>
      <c r="B45" s="30">
        <f t="shared" ref="B45:H45" si="0">B46+B51</f>
        <v>0</v>
      </c>
      <c r="C45" s="30">
        <f t="shared" si="0"/>
        <v>1873078</v>
      </c>
      <c r="D45" s="30">
        <f t="shared" si="0"/>
        <v>1997857</v>
      </c>
      <c r="E45" s="30">
        <f t="shared" si="0"/>
        <v>2318881</v>
      </c>
      <c r="F45" s="30">
        <f t="shared" si="0"/>
        <v>1728115</v>
      </c>
      <c r="G45" s="30">
        <f t="shared" si="0"/>
        <v>2298671</v>
      </c>
      <c r="H45" s="30">
        <f t="shared" si="0"/>
        <v>2288720</v>
      </c>
      <c r="I45" s="30">
        <f t="shared" ref="I45" si="1">I46+I51</f>
        <v>1834277</v>
      </c>
      <c r="J45" s="30">
        <f t="shared" ref="J45" si="2">J46+J51</f>
        <v>1767809</v>
      </c>
      <c r="K45" s="30">
        <f t="shared" ref="K45:L45" si="3">K46+K51</f>
        <v>31430718</v>
      </c>
      <c r="L45" s="30">
        <f t="shared" si="3"/>
        <v>32610961</v>
      </c>
      <c r="M45" s="30">
        <f t="shared" ref="M45:R45" si="4">M46+M51</f>
        <v>33587845</v>
      </c>
      <c r="N45" s="30">
        <f t="shared" si="4"/>
        <v>34016642</v>
      </c>
      <c r="O45" s="30">
        <f t="shared" si="4"/>
        <v>34757186</v>
      </c>
      <c r="P45" s="30">
        <f t="shared" si="4"/>
        <v>35628379</v>
      </c>
      <c r="Q45" s="30">
        <f t="shared" si="4"/>
        <v>36606434</v>
      </c>
      <c r="R45" s="30">
        <f t="shared" si="4"/>
        <v>37641754</v>
      </c>
      <c r="S45" s="30">
        <f>S46+S51</f>
        <v>38841231</v>
      </c>
      <c r="T45" s="30">
        <f>T46+T51</f>
        <v>34348191</v>
      </c>
    </row>
    <row r="46" spans="1:20" s="12" customFormat="1" x14ac:dyDescent="0.25">
      <c r="A46" s="18" t="s">
        <v>126</v>
      </c>
      <c r="B46" s="24">
        <f t="shared" ref="B46:H46" si="5">SUM(B47:B50)</f>
        <v>0</v>
      </c>
      <c r="C46" s="24">
        <f t="shared" si="5"/>
        <v>1449659</v>
      </c>
      <c r="D46" s="24">
        <f t="shared" si="5"/>
        <v>1553662</v>
      </c>
      <c r="E46" s="24">
        <f t="shared" si="5"/>
        <v>1800823</v>
      </c>
      <c r="F46" s="24">
        <f t="shared" si="5"/>
        <v>1348343</v>
      </c>
      <c r="G46" s="24">
        <f t="shared" si="5"/>
        <v>1790141</v>
      </c>
      <c r="H46" s="24">
        <f t="shared" si="5"/>
        <v>1787910</v>
      </c>
      <c r="I46" s="24">
        <f t="shared" ref="I46" si="6">SUM(I47:I50)</f>
        <v>1431583</v>
      </c>
      <c r="J46" s="24">
        <f t="shared" ref="J46" si="7">SUM(J47:J50)</f>
        <v>1384462</v>
      </c>
      <c r="K46" s="24">
        <f t="shared" ref="K46:L46" si="8">SUM(K47:K50)</f>
        <v>24663596</v>
      </c>
      <c r="L46" s="24">
        <f t="shared" si="8"/>
        <v>25630848</v>
      </c>
      <c r="M46" s="24">
        <f t="shared" ref="M46:R46" si="9">SUM(M47:M50)</f>
        <v>26463367</v>
      </c>
      <c r="N46" s="24">
        <f t="shared" si="9"/>
        <v>27058092</v>
      </c>
      <c r="O46" s="24">
        <f t="shared" si="9"/>
        <v>27481135</v>
      </c>
      <c r="P46" s="24">
        <f t="shared" si="9"/>
        <v>28289782</v>
      </c>
      <c r="Q46" s="24">
        <f t="shared" si="9"/>
        <v>29100110</v>
      </c>
      <c r="R46" s="24">
        <f t="shared" si="9"/>
        <v>30121293</v>
      </c>
      <c r="S46" s="24">
        <f>SUM(S47:S50)</f>
        <v>31175202</v>
      </c>
      <c r="T46" s="24">
        <f>SUM(T47:T50)</f>
        <v>27937246</v>
      </c>
    </row>
    <row r="47" spans="1:20" x14ac:dyDescent="0.25">
      <c r="A47" s="15" t="s">
        <v>128</v>
      </c>
      <c r="B47" s="25" t="s">
        <v>308</v>
      </c>
      <c r="C47" s="25" t="s">
        <v>308</v>
      </c>
      <c r="D47" s="25" t="s">
        <v>308</v>
      </c>
      <c r="E47" s="25" t="s">
        <v>308</v>
      </c>
      <c r="F47" s="25" t="s">
        <v>308</v>
      </c>
      <c r="G47" s="25" t="s">
        <v>308</v>
      </c>
      <c r="H47" s="25" t="s">
        <v>308</v>
      </c>
      <c r="I47" s="25" t="s">
        <v>308</v>
      </c>
      <c r="J47" s="25" t="s">
        <v>308</v>
      </c>
      <c r="K47" s="25">
        <v>23212762</v>
      </c>
      <c r="L47" s="25">
        <v>24180046</v>
      </c>
      <c r="M47" s="25">
        <v>24965699</v>
      </c>
      <c r="N47" s="25">
        <v>25526502</v>
      </c>
      <c r="O47" s="25">
        <v>26110342</v>
      </c>
      <c r="P47" s="25">
        <v>26942892</v>
      </c>
      <c r="Q47" s="25">
        <v>27616002</v>
      </c>
      <c r="R47" s="25">
        <v>28118332</v>
      </c>
      <c r="S47" s="25">
        <v>29033997</v>
      </c>
      <c r="T47" s="25">
        <v>26149598</v>
      </c>
    </row>
    <row r="48" spans="1:20" x14ac:dyDescent="0.25">
      <c r="A48" s="15" t="s">
        <v>129</v>
      </c>
      <c r="B48" s="25"/>
      <c r="C48" s="25">
        <v>467332</v>
      </c>
      <c r="D48" s="25">
        <v>494949</v>
      </c>
      <c r="E48" s="25">
        <v>525222</v>
      </c>
      <c r="F48" s="25">
        <v>559325</v>
      </c>
      <c r="G48" s="25">
        <v>570284</v>
      </c>
      <c r="H48" s="25">
        <v>602961</v>
      </c>
      <c r="I48" s="25">
        <v>633180</v>
      </c>
      <c r="J48" s="25">
        <v>666093</v>
      </c>
      <c r="K48" s="25">
        <v>698026</v>
      </c>
      <c r="L48" s="25">
        <v>725401</v>
      </c>
      <c r="M48" s="25">
        <v>748834</v>
      </c>
      <c r="N48" s="25">
        <v>765795</v>
      </c>
      <c r="O48" s="25">
        <v>783310</v>
      </c>
      <c r="P48" s="25">
        <v>808158</v>
      </c>
      <c r="Q48" s="25">
        <v>828356</v>
      </c>
      <c r="R48" s="25">
        <v>852375</v>
      </c>
      <c r="S48" s="25">
        <v>882317</v>
      </c>
      <c r="T48" s="25">
        <v>790584</v>
      </c>
    </row>
    <row r="49" spans="1:21" x14ac:dyDescent="0.25">
      <c r="A49" s="15" t="s">
        <v>130</v>
      </c>
      <c r="B49" s="25"/>
      <c r="C49" s="25">
        <v>467332</v>
      </c>
      <c r="D49" s="25">
        <v>494949</v>
      </c>
      <c r="E49" s="25">
        <v>525222</v>
      </c>
      <c r="F49" s="51" t="s">
        <v>46</v>
      </c>
      <c r="G49" s="25">
        <v>570284</v>
      </c>
      <c r="H49" s="25">
        <v>602961</v>
      </c>
      <c r="I49" s="25">
        <v>633180</v>
      </c>
      <c r="J49" s="25">
        <v>666093</v>
      </c>
      <c r="K49" s="25">
        <v>698026</v>
      </c>
      <c r="L49" s="25">
        <v>725401</v>
      </c>
      <c r="M49" s="25">
        <v>748834</v>
      </c>
      <c r="N49" s="25">
        <v>765795</v>
      </c>
      <c r="O49" s="25">
        <v>587483</v>
      </c>
      <c r="P49" s="25">
        <v>538732</v>
      </c>
      <c r="Q49" s="25">
        <v>655752</v>
      </c>
      <c r="R49" s="25">
        <v>852375</v>
      </c>
      <c r="S49" s="25">
        <v>882317</v>
      </c>
      <c r="T49" s="25">
        <v>790584</v>
      </c>
    </row>
    <row r="50" spans="1:21" x14ac:dyDescent="0.25">
      <c r="A50" s="15" t="s">
        <v>131</v>
      </c>
      <c r="B50" s="31"/>
      <c r="C50" s="31">
        <v>514995</v>
      </c>
      <c r="D50" s="31">
        <v>563764</v>
      </c>
      <c r="E50" s="31">
        <v>750379</v>
      </c>
      <c r="F50" s="31">
        <v>789018</v>
      </c>
      <c r="G50" s="25">
        <v>649573</v>
      </c>
      <c r="H50" s="25">
        <v>581988</v>
      </c>
      <c r="I50" s="31">
        <v>165223</v>
      </c>
      <c r="J50" s="31">
        <v>52276</v>
      </c>
      <c r="K50" s="31">
        <v>54782</v>
      </c>
      <c r="L50" s="31" t="s">
        <v>46</v>
      </c>
      <c r="M50" s="31" t="s">
        <v>46</v>
      </c>
      <c r="N50" s="31" t="s">
        <v>46</v>
      </c>
      <c r="O50" s="31" t="s">
        <v>46</v>
      </c>
      <c r="P50" s="31" t="s">
        <v>46</v>
      </c>
      <c r="Q50" s="31" t="s">
        <v>46</v>
      </c>
      <c r="R50" s="25">
        <v>298211</v>
      </c>
      <c r="S50" s="25">
        <v>376571</v>
      </c>
      <c r="T50" s="25">
        <v>206480</v>
      </c>
    </row>
    <row r="51" spans="1:21" s="12" customFormat="1" x14ac:dyDescent="0.25">
      <c r="A51" s="21" t="s">
        <v>127</v>
      </c>
      <c r="B51" s="26">
        <f t="shared" ref="B51:G51" si="10">SUM(B52:B55)</f>
        <v>0</v>
      </c>
      <c r="C51" s="26">
        <f t="shared" si="10"/>
        <v>423419</v>
      </c>
      <c r="D51" s="26">
        <f t="shared" si="10"/>
        <v>444195</v>
      </c>
      <c r="E51" s="26">
        <f t="shared" si="10"/>
        <v>518058</v>
      </c>
      <c r="F51" s="26">
        <f t="shared" si="10"/>
        <v>379772</v>
      </c>
      <c r="G51" s="26">
        <f t="shared" si="10"/>
        <v>508530</v>
      </c>
      <c r="H51" s="26">
        <f>SUM(H52:H55)</f>
        <v>500810</v>
      </c>
      <c r="I51" s="26">
        <f>SUM(I52:I55)</f>
        <v>402694</v>
      </c>
      <c r="J51" s="26">
        <f t="shared" ref="J51:R51" si="11">SUM(J52:J55)</f>
        <v>383347</v>
      </c>
      <c r="K51" s="26">
        <f t="shared" si="11"/>
        <v>6767122</v>
      </c>
      <c r="L51" s="26">
        <f t="shared" si="11"/>
        <v>6980113</v>
      </c>
      <c r="M51" s="26">
        <f t="shared" si="11"/>
        <v>7124478</v>
      </c>
      <c r="N51" s="26">
        <f t="shared" si="11"/>
        <v>6958550</v>
      </c>
      <c r="O51" s="26">
        <f t="shared" si="11"/>
        <v>7276051</v>
      </c>
      <c r="P51" s="26">
        <f t="shared" si="11"/>
        <v>7338597</v>
      </c>
      <c r="Q51" s="26">
        <f t="shared" si="11"/>
        <v>7506324</v>
      </c>
      <c r="R51" s="26">
        <f t="shared" si="11"/>
        <v>7520461</v>
      </c>
      <c r="S51" s="26">
        <f>SUM(S52:S55)</f>
        <v>7666029</v>
      </c>
      <c r="T51" s="26">
        <f>SUM(T52:T55)</f>
        <v>6410945</v>
      </c>
    </row>
    <row r="52" spans="1:21" x14ac:dyDescent="0.25">
      <c r="A52" s="15" t="s">
        <v>128</v>
      </c>
      <c r="B52" s="25" t="s">
        <v>308</v>
      </c>
      <c r="C52" s="25" t="s">
        <v>308</v>
      </c>
      <c r="D52" s="25" t="s">
        <v>308</v>
      </c>
      <c r="E52" s="25" t="s">
        <v>308</v>
      </c>
      <c r="F52" s="25" t="s">
        <v>308</v>
      </c>
      <c r="G52" s="25" t="s">
        <v>308</v>
      </c>
      <c r="H52" s="25" t="s">
        <v>308</v>
      </c>
      <c r="I52" s="25" t="s">
        <v>308</v>
      </c>
      <c r="J52" s="25" t="s">
        <v>308</v>
      </c>
      <c r="K52" s="25">
        <v>6369045</v>
      </c>
      <c r="L52" s="25">
        <v>6585013</v>
      </c>
      <c r="M52" s="25">
        <v>6721206</v>
      </c>
      <c r="N52" s="25">
        <v>6755874</v>
      </c>
      <c r="O52" s="25">
        <v>6913113</v>
      </c>
      <c r="P52" s="25">
        <v>6989140</v>
      </c>
      <c r="Q52" s="25">
        <v>7123439</v>
      </c>
      <c r="R52" s="25">
        <v>7020320</v>
      </c>
      <c r="S52" s="25">
        <v>7139504</v>
      </c>
      <c r="T52" s="25">
        <v>6000656</v>
      </c>
    </row>
    <row r="53" spans="1:21" x14ac:dyDescent="0.25">
      <c r="A53" s="15" t="s">
        <v>134</v>
      </c>
      <c r="B53" s="27"/>
      <c r="C53" s="27">
        <v>136499</v>
      </c>
      <c r="D53" s="27">
        <v>141507</v>
      </c>
      <c r="E53" s="27">
        <v>151095</v>
      </c>
      <c r="F53" s="27">
        <v>157538</v>
      </c>
      <c r="G53" s="27">
        <v>162002</v>
      </c>
      <c r="H53" s="27">
        <v>168895</v>
      </c>
      <c r="I53" s="27">
        <v>178109</v>
      </c>
      <c r="J53" s="27">
        <v>184436</v>
      </c>
      <c r="K53" s="27">
        <v>191523</v>
      </c>
      <c r="L53" s="27">
        <v>197550</v>
      </c>
      <c r="M53" s="27">
        <v>201636</v>
      </c>
      <c r="N53" s="27">
        <v>202676</v>
      </c>
      <c r="O53" s="27">
        <v>207393</v>
      </c>
      <c r="P53" s="27">
        <v>209674</v>
      </c>
      <c r="Q53" s="27">
        <v>213703</v>
      </c>
      <c r="R53" s="27">
        <v>212843</v>
      </c>
      <c r="S53" s="27">
        <v>216963</v>
      </c>
      <c r="T53" s="27">
        <v>181442</v>
      </c>
    </row>
    <row r="54" spans="1:21" x14ac:dyDescent="0.25">
      <c r="A54" s="15" t="s">
        <v>130</v>
      </c>
      <c r="B54" s="27"/>
      <c r="C54" s="27">
        <v>136499</v>
      </c>
      <c r="D54" s="27">
        <v>141507</v>
      </c>
      <c r="E54" s="27">
        <v>151095</v>
      </c>
      <c r="F54" s="29" t="s">
        <v>46</v>
      </c>
      <c r="G54" s="27">
        <v>162002</v>
      </c>
      <c r="H54" s="27">
        <v>168895</v>
      </c>
      <c r="I54" s="27">
        <v>178109</v>
      </c>
      <c r="J54" s="27">
        <v>184436</v>
      </c>
      <c r="K54" s="27">
        <v>191523</v>
      </c>
      <c r="L54" s="27">
        <v>197550</v>
      </c>
      <c r="M54" s="27">
        <v>201636</v>
      </c>
      <c r="N54" s="27" t="s">
        <v>46</v>
      </c>
      <c r="O54" s="27">
        <v>155545</v>
      </c>
      <c r="P54" s="27">
        <v>139783</v>
      </c>
      <c r="Q54" s="27">
        <v>169182</v>
      </c>
      <c r="R54" s="27">
        <v>212843</v>
      </c>
      <c r="S54" s="27">
        <v>216963</v>
      </c>
      <c r="T54" s="27">
        <v>181442</v>
      </c>
    </row>
    <row r="55" spans="1:21" x14ac:dyDescent="0.25">
      <c r="A55" s="15" t="s">
        <v>135</v>
      </c>
      <c r="B55" s="29"/>
      <c r="C55" s="29">
        <v>150421</v>
      </c>
      <c r="D55" s="29">
        <v>161181</v>
      </c>
      <c r="E55" s="29">
        <v>215868</v>
      </c>
      <c r="F55" s="29">
        <v>222234</v>
      </c>
      <c r="G55" s="27">
        <v>184526</v>
      </c>
      <c r="H55" s="25">
        <v>163020</v>
      </c>
      <c r="I55" s="29">
        <v>46476</v>
      </c>
      <c r="J55" s="29">
        <v>14475</v>
      </c>
      <c r="K55" s="29">
        <v>15031</v>
      </c>
      <c r="L55" s="29" t="s">
        <v>46</v>
      </c>
      <c r="M55" s="29" t="s">
        <v>46</v>
      </c>
      <c r="N55" s="29" t="s">
        <v>46</v>
      </c>
      <c r="O55" s="29" t="s">
        <v>46</v>
      </c>
      <c r="P55" s="29" t="s">
        <v>46</v>
      </c>
      <c r="Q55" s="29" t="s">
        <v>46</v>
      </c>
      <c r="R55" s="27">
        <v>74455</v>
      </c>
      <c r="S55" s="27">
        <v>92599</v>
      </c>
      <c r="T55" s="27">
        <v>47405</v>
      </c>
    </row>
    <row r="56" spans="1:2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1" x14ac:dyDescent="0.25">
      <c r="A57" s="14" t="s">
        <v>132</v>
      </c>
      <c r="B57" s="30">
        <f t="shared" ref="B57:I57" si="12">SUM(B58,B61,B64)</f>
        <v>2038889</v>
      </c>
      <c r="C57" s="30">
        <f t="shared" si="12"/>
        <v>1275129</v>
      </c>
      <c r="D57" s="30">
        <f t="shared" si="12"/>
        <v>1520488</v>
      </c>
      <c r="E57" s="30">
        <f t="shared" si="12"/>
        <v>1547754</v>
      </c>
      <c r="F57" s="30">
        <f t="shared" si="12"/>
        <v>1298068</v>
      </c>
      <c r="G57" s="30">
        <f t="shared" si="12"/>
        <v>1675130</v>
      </c>
      <c r="H57" s="30">
        <f t="shared" si="12"/>
        <v>3128003</v>
      </c>
      <c r="I57" s="30">
        <f t="shared" si="12"/>
        <v>3866640</v>
      </c>
      <c r="J57" s="30">
        <f>SUM(J58,J61,J64)</f>
        <v>3922847</v>
      </c>
      <c r="K57" s="30">
        <f>SUM(K58,K61,K64)</f>
        <v>2556379</v>
      </c>
      <c r="L57" s="30">
        <f>SUM(L58,L61,L64)</f>
        <v>3354693</v>
      </c>
      <c r="M57" s="30">
        <f>SUM(M58,M61,M64)</f>
        <v>2492226</v>
      </c>
      <c r="N57" s="30">
        <f t="shared" ref="N57:S57" si="13">SUM(N58,N61,N64)</f>
        <v>2527051</v>
      </c>
      <c r="O57" s="30">
        <f t="shared" si="13"/>
        <v>2242409</v>
      </c>
      <c r="P57" s="30">
        <f t="shared" si="13"/>
        <v>1793592</v>
      </c>
      <c r="Q57" s="30">
        <f t="shared" si="13"/>
        <v>1287338</v>
      </c>
      <c r="R57" s="30">
        <f t="shared" si="13"/>
        <v>1096510</v>
      </c>
      <c r="S57" s="30">
        <f t="shared" si="13"/>
        <v>997137</v>
      </c>
      <c r="T57" s="30">
        <f>SUM(T58,T61,T64)</f>
        <v>475273</v>
      </c>
      <c r="U57" s="28"/>
    </row>
    <row r="58" spans="1:21" s="12" customFormat="1" x14ac:dyDescent="0.25">
      <c r="A58" s="15" t="s">
        <v>113</v>
      </c>
      <c r="B58" s="25">
        <v>736984</v>
      </c>
      <c r="C58" s="25">
        <v>183065</v>
      </c>
      <c r="D58" s="25">
        <v>366102</v>
      </c>
      <c r="E58" s="25">
        <v>361826</v>
      </c>
      <c r="F58" s="25">
        <v>0</v>
      </c>
      <c r="G58" s="25">
        <v>469891</v>
      </c>
      <c r="H58" s="25">
        <v>1942888</v>
      </c>
      <c r="I58" s="25">
        <v>1978227</v>
      </c>
      <c r="J58" s="25">
        <v>2408282</v>
      </c>
      <c r="K58" s="25">
        <f>SUM(K59:K60)</f>
        <v>1275112</v>
      </c>
      <c r="L58" s="25">
        <f>SUM(L59:L60)</f>
        <v>2121794</v>
      </c>
      <c r="M58" s="25">
        <f>SUM(M59:M60)</f>
        <v>1497368</v>
      </c>
      <c r="N58" s="25">
        <f>SUM(N59:N60)</f>
        <v>1511779</v>
      </c>
      <c r="O58" s="25">
        <f t="shared" ref="O58:R58" si="14">SUM(O59:O60)</f>
        <v>1827788</v>
      </c>
      <c r="P58" s="25">
        <f t="shared" si="14"/>
        <v>1699727</v>
      </c>
      <c r="Q58" s="25">
        <f t="shared" si="14"/>
        <v>1207801</v>
      </c>
      <c r="R58" s="25">
        <f t="shared" si="14"/>
        <v>1036154</v>
      </c>
      <c r="S58" s="25">
        <f>SUM(S59:S60)</f>
        <v>933424</v>
      </c>
      <c r="T58" s="25">
        <f>SUM(T59:T60)</f>
        <v>401670</v>
      </c>
    </row>
    <row r="59" spans="1:21" s="12" customFormat="1" x14ac:dyDescent="0.25">
      <c r="A59" s="50" t="s">
        <v>133</v>
      </c>
      <c r="B59" s="31" t="s">
        <v>46</v>
      </c>
      <c r="C59" s="31" t="s">
        <v>46</v>
      </c>
      <c r="D59" s="31" t="s">
        <v>46</v>
      </c>
      <c r="E59" s="31" t="s">
        <v>46</v>
      </c>
      <c r="F59" s="31" t="s">
        <v>46</v>
      </c>
      <c r="G59" s="31" t="s">
        <v>46</v>
      </c>
      <c r="H59" s="31" t="s">
        <v>46</v>
      </c>
      <c r="I59" s="31" t="s">
        <v>46</v>
      </c>
      <c r="J59" s="31" t="s">
        <v>46</v>
      </c>
      <c r="K59" s="25">
        <v>1113373</v>
      </c>
      <c r="L59" s="25">
        <v>1794851</v>
      </c>
      <c r="M59" s="25">
        <v>1332965</v>
      </c>
      <c r="N59" s="25">
        <v>1466783</v>
      </c>
      <c r="O59" s="25">
        <v>1481982</v>
      </c>
      <c r="P59" s="25">
        <v>1318537</v>
      </c>
      <c r="Q59" s="25">
        <v>946278</v>
      </c>
      <c r="R59" s="25">
        <v>784381</v>
      </c>
      <c r="S59" s="25">
        <v>738753</v>
      </c>
      <c r="T59" s="25">
        <v>324129</v>
      </c>
    </row>
    <row r="60" spans="1:21" s="12" customFormat="1" x14ac:dyDescent="0.25">
      <c r="A60" s="50" t="s">
        <v>136</v>
      </c>
      <c r="B60" s="31" t="s">
        <v>46</v>
      </c>
      <c r="C60" s="29" t="s">
        <v>46</v>
      </c>
      <c r="D60" s="29" t="s">
        <v>46</v>
      </c>
      <c r="E60" s="29" t="s">
        <v>46</v>
      </c>
      <c r="F60" s="29" t="s">
        <v>46</v>
      </c>
      <c r="G60" s="29" t="s">
        <v>46</v>
      </c>
      <c r="H60" s="29" t="s">
        <v>46</v>
      </c>
      <c r="I60" s="29" t="s">
        <v>46</v>
      </c>
      <c r="J60" s="29" t="s">
        <v>46</v>
      </c>
      <c r="K60" s="27">
        <v>161739</v>
      </c>
      <c r="L60" s="27">
        <v>326943</v>
      </c>
      <c r="M60" s="27">
        <v>164403</v>
      </c>
      <c r="N60" s="27">
        <v>44996</v>
      </c>
      <c r="O60" s="27">
        <v>345806</v>
      </c>
      <c r="P60" s="27">
        <v>381190</v>
      </c>
      <c r="Q60" s="27">
        <v>261523</v>
      </c>
      <c r="R60" s="27">
        <v>251773</v>
      </c>
      <c r="S60" s="27">
        <v>194671</v>
      </c>
      <c r="T60" s="27">
        <v>77541</v>
      </c>
    </row>
    <row r="61" spans="1:21" s="12" customFormat="1" x14ac:dyDescent="0.25">
      <c r="A61" s="49" t="s">
        <v>291</v>
      </c>
      <c r="B61" s="27">
        <v>613752</v>
      </c>
      <c r="C61" s="27">
        <v>578091</v>
      </c>
      <c r="D61" s="27">
        <v>601318</v>
      </c>
      <c r="E61" s="27">
        <v>653299</v>
      </c>
      <c r="F61" s="27">
        <v>967843</v>
      </c>
      <c r="G61" s="27">
        <v>972478</v>
      </c>
      <c r="H61" s="27">
        <v>1018299</v>
      </c>
      <c r="I61" s="27">
        <v>1695244</v>
      </c>
      <c r="J61" s="27">
        <v>1130003</v>
      </c>
      <c r="K61" s="27">
        <v>853605</v>
      </c>
      <c r="L61" s="27">
        <v>781406</v>
      </c>
      <c r="M61" s="27">
        <v>793302</v>
      </c>
      <c r="N61" s="27">
        <v>810004</v>
      </c>
      <c r="O61" s="27">
        <f t="shared" ref="O61:R61" si="15">SUM(O62:O63)</f>
        <v>388282</v>
      </c>
      <c r="P61" s="27">
        <f t="shared" si="15"/>
        <v>68143</v>
      </c>
      <c r="Q61" s="27">
        <f t="shared" si="15"/>
        <v>53166</v>
      </c>
      <c r="R61" s="27">
        <f t="shared" si="15"/>
        <v>47294</v>
      </c>
      <c r="S61" s="27">
        <f>SUM(S62:S63)</f>
        <v>53053</v>
      </c>
      <c r="T61" s="27">
        <f>SUM(T62:T63)</f>
        <v>69935</v>
      </c>
    </row>
    <row r="62" spans="1:21" s="12" customFormat="1" x14ac:dyDescent="0.25">
      <c r="A62" s="48" t="s">
        <v>258</v>
      </c>
      <c r="B62" s="31" t="s">
        <v>46</v>
      </c>
      <c r="C62" s="29" t="s">
        <v>46</v>
      </c>
      <c r="D62" s="29" t="s">
        <v>46</v>
      </c>
      <c r="E62" s="29" t="s">
        <v>46</v>
      </c>
      <c r="F62" s="29" t="s">
        <v>46</v>
      </c>
      <c r="G62" s="29" t="s">
        <v>46</v>
      </c>
      <c r="H62" s="29" t="s">
        <v>46</v>
      </c>
      <c r="I62" s="29" t="s">
        <v>46</v>
      </c>
      <c r="J62" s="29" t="s">
        <v>46</v>
      </c>
      <c r="K62" s="27" t="s">
        <v>46</v>
      </c>
      <c r="L62" s="27" t="s">
        <v>46</v>
      </c>
      <c r="M62" s="27" t="s">
        <v>46</v>
      </c>
      <c r="N62" s="27" t="s">
        <v>46</v>
      </c>
      <c r="O62" s="27">
        <v>323226</v>
      </c>
      <c r="P62" s="27">
        <v>56726</v>
      </c>
      <c r="Q62" s="27">
        <v>44258</v>
      </c>
      <c r="R62" s="27">
        <v>39370</v>
      </c>
      <c r="S62" s="27">
        <v>44164</v>
      </c>
      <c r="T62" s="27">
        <v>58218</v>
      </c>
    </row>
    <row r="63" spans="1:21" s="12" customFormat="1" x14ac:dyDescent="0.25">
      <c r="A63" s="48" t="s">
        <v>259</v>
      </c>
      <c r="B63" s="31" t="s">
        <v>46</v>
      </c>
      <c r="C63" s="29" t="s">
        <v>46</v>
      </c>
      <c r="D63" s="29" t="s">
        <v>46</v>
      </c>
      <c r="E63" s="29" t="s">
        <v>46</v>
      </c>
      <c r="F63" s="29" t="s">
        <v>46</v>
      </c>
      <c r="G63" s="29" t="s">
        <v>46</v>
      </c>
      <c r="H63" s="29" t="s">
        <v>46</v>
      </c>
      <c r="I63" s="29" t="s">
        <v>46</v>
      </c>
      <c r="J63" s="29" t="s">
        <v>46</v>
      </c>
      <c r="K63" s="29" t="s">
        <v>46</v>
      </c>
      <c r="L63" s="29" t="s">
        <v>46</v>
      </c>
      <c r="M63" s="29" t="s">
        <v>46</v>
      </c>
      <c r="N63" s="29" t="s">
        <v>46</v>
      </c>
      <c r="O63" s="29">
        <v>65056</v>
      </c>
      <c r="P63" s="29">
        <v>11417</v>
      </c>
      <c r="Q63" s="29">
        <v>8908</v>
      </c>
      <c r="R63" s="29">
        <v>7924</v>
      </c>
      <c r="S63" s="27">
        <v>8889</v>
      </c>
      <c r="T63" s="27">
        <v>11717</v>
      </c>
    </row>
    <row r="64" spans="1:21" s="12" customFormat="1" x14ac:dyDescent="0.25">
      <c r="A64" s="19" t="s">
        <v>290</v>
      </c>
      <c r="B64" s="29">
        <v>688153</v>
      </c>
      <c r="C64" s="29">
        <v>513973</v>
      </c>
      <c r="D64" s="29">
        <v>553068</v>
      </c>
      <c r="E64" s="29">
        <v>532629</v>
      </c>
      <c r="F64" s="29">
        <v>330225</v>
      </c>
      <c r="G64" s="29">
        <v>232761</v>
      </c>
      <c r="H64" s="29">
        <v>166816</v>
      </c>
      <c r="I64" s="29">
        <v>193169</v>
      </c>
      <c r="J64" s="29">
        <v>384562</v>
      </c>
      <c r="K64" s="29">
        <v>427662</v>
      </c>
      <c r="L64" s="29">
        <v>451493</v>
      </c>
      <c r="M64" s="29">
        <v>201556</v>
      </c>
      <c r="N64" s="29">
        <v>205268</v>
      </c>
      <c r="O64" s="29">
        <f t="shared" ref="O64:S64" si="16">SUM(O65:O66)</f>
        <v>26339</v>
      </c>
      <c r="P64" s="29">
        <f t="shared" si="16"/>
        <v>25722</v>
      </c>
      <c r="Q64" s="29">
        <f t="shared" si="16"/>
        <v>26371</v>
      </c>
      <c r="R64" s="29">
        <f t="shared" si="16"/>
        <v>13062</v>
      </c>
      <c r="S64" s="29">
        <f t="shared" si="16"/>
        <v>10660</v>
      </c>
      <c r="T64" s="29">
        <f>SUM(T65:T66)</f>
        <v>3668</v>
      </c>
    </row>
    <row r="65" spans="1:20" s="12" customFormat="1" x14ac:dyDescent="0.25">
      <c r="A65" s="48" t="s">
        <v>137</v>
      </c>
      <c r="B65" s="31" t="s">
        <v>46</v>
      </c>
      <c r="C65" s="29" t="s">
        <v>46</v>
      </c>
      <c r="D65" s="29" t="s">
        <v>46</v>
      </c>
      <c r="E65" s="29" t="s">
        <v>46</v>
      </c>
      <c r="F65" s="29" t="s">
        <v>46</v>
      </c>
      <c r="G65" s="29" t="s">
        <v>46</v>
      </c>
      <c r="H65" s="29" t="s">
        <v>46</v>
      </c>
      <c r="I65" s="29" t="s">
        <v>46</v>
      </c>
      <c r="J65" s="29" t="s">
        <v>46</v>
      </c>
      <c r="K65" s="27" t="s">
        <v>46</v>
      </c>
      <c r="L65" s="27" t="s">
        <v>46</v>
      </c>
      <c r="M65" s="29" t="s">
        <v>46</v>
      </c>
      <c r="N65" s="29" t="s">
        <v>46</v>
      </c>
      <c r="O65" s="29">
        <v>21926</v>
      </c>
      <c r="P65" s="29">
        <v>21494</v>
      </c>
      <c r="Q65" s="29">
        <v>22193</v>
      </c>
      <c r="R65" s="29">
        <v>11026</v>
      </c>
      <c r="S65" s="27">
        <v>9087</v>
      </c>
      <c r="T65" s="29">
        <v>3077</v>
      </c>
    </row>
    <row r="66" spans="1:20" x14ac:dyDescent="0.25">
      <c r="A66" s="48" t="s">
        <v>138</v>
      </c>
      <c r="B66" s="31" t="s">
        <v>46</v>
      </c>
      <c r="C66" s="29" t="s">
        <v>46</v>
      </c>
      <c r="D66" s="29" t="s">
        <v>46</v>
      </c>
      <c r="E66" s="29" t="s">
        <v>46</v>
      </c>
      <c r="F66" s="29" t="s">
        <v>46</v>
      </c>
      <c r="G66" s="29" t="s">
        <v>46</v>
      </c>
      <c r="H66" s="29" t="s">
        <v>46</v>
      </c>
      <c r="I66" s="29" t="s">
        <v>46</v>
      </c>
      <c r="J66" s="29" t="s">
        <v>46</v>
      </c>
      <c r="K66" s="29" t="s">
        <v>46</v>
      </c>
      <c r="L66" s="29" t="s">
        <v>46</v>
      </c>
      <c r="M66" s="25" t="s">
        <v>46</v>
      </c>
      <c r="N66" s="25" t="s">
        <v>46</v>
      </c>
      <c r="O66" s="25">
        <v>4413</v>
      </c>
      <c r="P66" s="25">
        <v>4228</v>
      </c>
      <c r="Q66" s="25">
        <v>4178</v>
      </c>
      <c r="R66" s="25">
        <v>2036</v>
      </c>
      <c r="S66" s="25">
        <v>1573</v>
      </c>
      <c r="T66" s="25">
        <v>591</v>
      </c>
    </row>
    <row r="67" spans="1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x14ac:dyDescent="0.25">
      <c r="A68" s="14" t="s">
        <v>8</v>
      </c>
      <c r="B68" s="30">
        <f t="shared" ref="B68:E68" si="17">SUM(B70:B71)</f>
        <v>21697156</v>
      </c>
      <c r="C68" s="30">
        <f t="shared" si="17"/>
        <v>22610498</v>
      </c>
      <c r="D68" s="30">
        <f t="shared" si="17"/>
        <v>24008607</v>
      </c>
      <c r="E68" s="30">
        <f t="shared" si="17"/>
        <v>25444285</v>
      </c>
      <c r="F68" s="30">
        <f t="shared" ref="F68:H68" si="18">SUM(F70:F71)</f>
        <v>25910356</v>
      </c>
      <c r="G68" s="30">
        <f t="shared" si="18"/>
        <v>27549248</v>
      </c>
      <c r="H68" s="30">
        <f t="shared" si="18"/>
        <v>30400230</v>
      </c>
      <c r="I68" s="30">
        <f>SUM(I70:I71)</f>
        <v>32525496</v>
      </c>
      <c r="J68" s="30">
        <f>SUM(J70:J71)</f>
        <v>33974877</v>
      </c>
      <c r="K68" s="30">
        <f t="shared" ref="K68:R68" si="19">K57+K45</f>
        <v>33987097</v>
      </c>
      <c r="L68" s="30">
        <f t="shared" si="19"/>
        <v>35965654</v>
      </c>
      <c r="M68" s="30">
        <f t="shared" si="19"/>
        <v>36080071</v>
      </c>
      <c r="N68" s="30">
        <f t="shared" si="19"/>
        <v>36543693</v>
      </c>
      <c r="O68" s="30">
        <f t="shared" si="19"/>
        <v>36999595</v>
      </c>
      <c r="P68" s="30">
        <f t="shared" si="19"/>
        <v>37421971</v>
      </c>
      <c r="Q68" s="30">
        <f t="shared" si="19"/>
        <v>37893772</v>
      </c>
      <c r="R68" s="30">
        <f t="shared" si="19"/>
        <v>38738264</v>
      </c>
      <c r="S68" s="30">
        <f>S57+S45</f>
        <v>39838368</v>
      </c>
      <c r="T68" s="30">
        <f>T57+T45</f>
        <v>34823464</v>
      </c>
    </row>
    <row r="70" spans="1:20" s="12" customFormat="1" x14ac:dyDescent="0.25">
      <c r="A70" s="18" t="s">
        <v>312</v>
      </c>
      <c r="B70" s="24">
        <v>16600536</v>
      </c>
      <c r="C70" s="24">
        <v>17383516</v>
      </c>
      <c r="D70" s="24">
        <v>18600781</v>
      </c>
      <c r="E70" s="24">
        <v>19738785</v>
      </c>
      <c r="F70" s="24">
        <v>20225878</v>
      </c>
      <c r="G70" s="24">
        <v>21474223</v>
      </c>
      <c r="H70" s="24">
        <v>23789594</v>
      </c>
      <c r="I70" s="24">
        <v>25465053</v>
      </c>
      <c r="J70" s="24">
        <v>26757607</v>
      </c>
      <c r="K70" s="24">
        <v>26853233</v>
      </c>
      <c r="L70" s="24">
        <v>28470828</v>
      </c>
      <c r="M70" s="24">
        <v>28639094</v>
      </c>
      <c r="N70" s="24">
        <v>29173707</v>
      </c>
      <c r="O70" s="24">
        <v>29308269</v>
      </c>
      <c r="P70" s="24">
        <v>29686540</v>
      </c>
      <c r="Q70" s="24">
        <v>30112839</v>
      </c>
      <c r="R70" s="24">
        <v>30956070</v>
      </c>
      <c r="S70" s="24">
        <v>31967206</v>
      </c>
      <c r="T70" s="24">
        <f>SUM(T46,T59,T62,T65)</f>
        <v>28322670</v>
      </c>
    </row>
    <row r="71" spans="1:20" s="12" customFormat="1" x14ac:dyDescent="0.25">
      <c r="A71" s="18" t="s">
        <v>313</v>
      </c>
      <c r="B71" s="24">
        <v>5096620</v>
      </c>
      <c r="C71" s="24">
        <v>5226982</v>
      </c>
      <c r="D71" s="24">
        <v>5407826</v>
      </c>
      <c r="E71" s="24">
        <v>5705500</v>
      </c>
      <c r="F71" s="24">
        <v>5684478</v>
      </c>
      <c r="G71" s="24">
        <v>6075025</v>
      </c>
      <c r="H71" s="24">
        <v>6610636</v>
      </c>
      <c r="I71" s="24">
        <v>7060443</v>
      </c>
      <c r="J71" s="24">
        <v>7217270</v>
      </c>
      <c r="K71" s="24">
        <v>7133864</v>
      </c>
      <c r="L71" s="24">
        <v>7494826</v>
      </c>
      <c r="M71" s="24">
        <v>7440978</v>
      </c>
      <c r="N71" s="24">
        <v>7369986</v>
      </c>
      <c r="O71" s="24">
        <v>7691326</v>
      </c>
      <c r="P71" s="24">
        <v>7735431</v>
      </c>
      <c r="Q71" s="24">
        <v>7780933</v>
      </c>
      <c r="R71" s="24">
        <v>7782194</v>
      </c>
      <c r="S71" s="24">
        <v>7871162</v>
      </c>
      <c r="T71" s="24">
        <f>SUM(T51,T60,T63,T66)</f>
        <v>6500794</v>
      </c>
    </row>
    <row r="72" spans="1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0" x14ac:dyDescent="0.25">
      <c r="O73" s="28"/>
      <c r="P73" s="28"/>
      <c r="Q73" s="28"/>
      <c r="R73" s="28"/>
      <c r="S73" s="28"/>
    </row>
    <row r="74" spans="1:20" x14ac:dyDescent="0.25">
      <c r="S74" s="28"/>
    </row>
    <row r="75" spans="1:20" x14ac:dyDescent="0.25">
      <c r="S75" s="28"/>
      <c r="T75" s="2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40.85546875" style="12" bestFit="1" customWidth="1"/>
    <col min="2" max="4" width="18.42578125" style="12" customWidth="1"/>
    <col min="5" max="10" width="17.7109375" style="12" bestFit="1" customWidth="1"/>
    <col min="11" max="19" width="15" style="12" bestFit="1" customWidth="1"/>
    <col min="20" max="16384" width="9.140625" style="12"/>
  </cols>
  <sheetData>
    <row r="1" spans="1:20" s="12" customFormat="1" ht="15" customHeight="1" thickBot="1" x14ac:dyDescent="0.3">
      <c r="M1" s="198" t="s">
        <v>361</v>
      </c>
      <c r="S1" s="199"/>
    </row>
    <row r="2" spans="1:20" s="12" customFormat="1" ht="15" customHeight="1" x14ac:dyDescent="0.25">
      <c r="A2" s="106" t="s">
        <v>340</v>
      </c>
      <c r="B2" s="142" t="s">
        <v>341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20" s="12" customFormat="1" ht="15.75" thickBot="1" x14ac:dyDescent="0.3">
      <c r="A3" s="107"/>
      <c r="B3" s="144" t="s">
        <v>360</v>
      </c>
      <c r="C3" s="74" t="s">
        <v>359</v>
      </c>
      <c r="D3" s="65" t="s">
        <v>357</v>
      </c>
      <c r="E3" s="65" t="s">
        <v>358</v>
      </c>
      <c r="F3" s="65" t="s">
        <v>356</v>
      </c>
      <c r="G3" s="65" t="s">
        <v>355</v>
      </c>
      <c r="H3" s="65" t="s">
        <v>351</v>
      </c>
      <c r="I3" s="65" t="s">
        <v>352</v>
      </c>
      <c r="J3" s="65" t="s">
        <v>353</v>
      </c>
      <c r="K3" s="64" t="s">
        <v>354</v>
      </c>
      <c r="L3" s="64" t="s">
        <v>347</v>
      </c>
      <c r="M3" s="64" t="s">
        <v>348</v>
      </c>
      <c r="N3" s="64" t="s">
        <v>349</v>
      </c>
      <c r="O3" s="64" t="s">
        <v>345</v>
      </c>
      <c r="P3" s="64" t="s">
        <v>346</v>
      </c>
      <c r="Q3" s="64" t="s">
        <v>342</v>
      </c>
      <c r="R3" s="66" t="s">
        <v>343</v>
      </c>
      <c r="S3" s="141" t="s">
        <v>402</v>
      </c>
    </row>
    <row r="4" spans="1:20" s="62" customFormat="1" x14ac:dyDescent="0.25">
      <c r="A4" s="67" t="s">
        <v>363</v>
      </c>
      <c r="B4" s="145" t="s">
        <v>344</v>
      </c>
      <c r="C4" s="146" t="s">
        <v>344</v>
      </c>
      <c r="D4" s="146" t="s">
        <v>344</v>
      </c>
      <c r="E4" s="146" t="s">
        <v>344</v>
      </c>
      <c r="F4" s="146" t="s">
        <v>344</v>
      </c>
      <c r="G4" s="146" t="s">
        <v>344</v>
      </c>
      <c r="H4" s="200">
        <v>484771</v>
      </c>
      <c r="I4" s="200">
        <v>240878</v>
      </c>
      <c r="J4" s="200">
        <v>93290</v>
      </c>
      <c r="K4" s="201">
        <v>29166</v>
      </c>
      <c r="L4" s="201">
        <v>36835</v>
      </c>
      <c r="M4" s="201">
        <v>106073</v>
      </c>
      <c r="N4" s="201">
        <v>10955</v>
      </c>
      <c r="O4" s="146" t="s">
        <v>344</v>
      </c>
      <c r="P4" s="201" t="s">
        <v>344</v>
      </c>
      <c r="Q4" s="201" t="s">
        <v>344</v>
      </c>
      <c r="R4" s="202" t="s">
        <v>344</v>
      </c>
      <c r="S4" s="203"/>
      <c r="T4" s="204"/>
    </row>
    <row r="5" spans="1:20" s="62" customFormat="1" x14ac:dyDescent="0.25">
      <c r="A5" s="68" t="s">
        <v>364</v>
      </c>
      <c r="B5" s="154">
        <v>1042667</v>
      </c>
      <c r="C5" s="147">
        <v>652792</v>
      </c>
      <c r="D5" s="151">
        <v>1150940</v>
      </c>
      <c r="E5" s="151">
        <v>428252</v>
      </c>
      <c r="F5" s="151">
        <v>884284</v>
      </c>
      <c r="G5" s="172">
        <v>725438</v>
      </c>
      <c r="H5" s="148" t="s">
        <v>344</v>
      </c>
      <c r="I5" s="148" t="s">
        <v>344</v>
      </c>
      <c r="J5" s="148" t="s">
        <v>344</v>
      </c>
      <c r="K5" s="148" t="s">
        <v>344</v>
      </c>
      <c r="L5" s="148" t="s">
        <v>344</v>
      </c>
      <c r="M5" s="148" t="s">
        <v>344</v>
      </c>
      <c r="N5" s="148" t="s">
        <v>344</v>
      </c>
      <c r="O5" s="148" t="s">
        <v>344</v>
      </c>
      <c r="P5" s="148" t="s">
        <v>344</v>
      </c>
      <c r="Q5" s="148" t="s">
        <v>344</v>
      </c>
      <c r="R5" s="148" t="s">
        <v>344</v>
      </c>
      <c r="S5" s="149"/>
      <c r="T5" s="204"/>
    </row>
    <row r="6" spans="1:20" s="12" customFormat="1" x14ac:dyDescent="0.25">
      <c r="A6" s="69" t="s">
        <v>365</v>
      </c>
      <c r="B6" s="162">
        <v>1604160</v>
      </c>
      <c r="C6" s="205">
        <v>1722014</v>
      </c>
      <c r="D6" s="163">
        <v>1775429</v>
      </c>
      <c r="E6" s="163">
        <v>1121940</v>
      </c>
      <c r="F6" s="155">
        <v>763865</v>
      </c>
      <c r="G6" s="151">
        <v>539245</v>
      </c>
      <c r="H6" s="150">
        <v>3738349</v>
      </c>
      <c r="I6" s="150">
        <v>3169749</v>
      </c>
      <c r="J6" s="150">
        <v>2742979</v>
      </c>
      <c r="K6" s="151">
        <v>2442219</v>
      </c>
      <c r="L6" s="151">
        <v>1723032</v>
      </c>
      <c r="M6" s="151">
        <v>1021735</v>
      </c>
      <c r="N6" s="151">
        <v>851026</v>
      </c>
      <c r="O6" s="151">
        <v>357777</v>
      </c>
      <c r="P6" s="151">
        <v>217186</v>
      </c>
      <c r="Q6" s="151">
        <v>14091507</v>
      </c>
      <c r="R6" s="152">
        <v>14571769</v>
      </c>
      <c r="S6" s="153">
        <v>13956370</v>
      </c>
      <c r="T6" s="206"/>
    </row>
    <row r="7" spans="1:20" s="12" customFormat="1" x14ac:dyDescent="0.25">
      <c r="A7" s="70" t="s">
        <v>366</v>
      </c>
      <c r="B7" s="154" t="s">
        <v>344</v>
      </c>
      <c r="C7" s="151" t="s">
        <v>344</v>
      </c>
      <c r="D7" s="151" t="s">
        <v>344</v>
      </c>
      <c r="E7" s="151" t="s">
        <v>344</v>
      </c>
      <c r="F7" s="151" t="s">
        <v>344</v>
      </c>
      <c r="G7" s="151" t="s">
        <v>344</v>
      </c>
      <c r="H7" s="151" t="s">
        <v>344</v>
      </c>
      <c r="I7" s="151" t="s">
        <v>344</v>
      </c>
      <c r="J7" s="151" t="s">
        <v>344</v>
      </c>
      <c r="K7" s="151" t="s">
        <v>344</v>
      </c>
      <c r="L7" s="151" t="s">
        <v>344</v>
      </c>
      <c r="M7" s="151" t="s">
        <v>344</v>
      </c>
      <c r="N7" s="151" t="s">
        <v>344</v>
      </c>
      <c r="O7" s="155" t="s">
        <v>344</v>
      </c>
      <c r="P7" s="151" t="s">
        <v>344</v>
      </c>
      <c r="Q7" s="151">
        <v>7417762</v>
      </c>
      <c r="R7" s="152">
        <v>7497196</v>
      </c>
      <c r="S7" s="153">
        <v>7197376</v>
      </c>
      <c r="T7" s="206"/>
    </row>
    <row r="8" spans="1:20" s="12" customFormat="1" x14ac:dyDescent="0.25">
      <c r="A8" s="70" t="s">
        <v>367</v>
      </c>
      <c r="B8" s="154" t="s">
        <v>344</v>
      </c>
      <c r="C8" s="151" t="s">
        <v>344</v>
      </c>
      <c r="D8" s="151" t="s">
        <v>344</v>
      </c>
      <c r="E8" s="151" t="s">
        <v>344</v>
      </c>
      <c r="F8" s="151" t="s">
        <v>344</v>
      </c>
      <c r="G8" s="151" t="s">
        <v>344</v>
      </c>
      <c r="H8" s="151" t="s">
        <v>344</v>
      </c>
      <c r="I8" s="151" t="s">
        <v>344</v>
      </c>
      <c r="J8" s="151" t="s">
        <v>344</v>
      </c>
      <c r="K8" s="151" t="s">
        <v>344</v>
      </c>
      <c r="L8" s="151" t="s">
        <v>344</v>
      </c>
      <c r="M8" s="151" t="s">
        <v>344</v>
      </c>
      <c r="N8" s="151" t="s">
        <v>344</v>
      </c>
      <c r="O8" s="155" t="s">
        <v>344</v>
      </c>
      <c r="P8" s="151" t="s">
        <v>344</v>
      </c>
      <c r="Q8" s="151">
        <v>6596743</v>
      </c>
      <c r="R8" s="152">
        <v>7030999</v>
      </c>
      <c r="S8" s="153">
        <v>6749823</v>
      </c>
      <c r="T8" s="206"/>
    </row>
    <row r="9" spans="1:20" s="12" customFormat="1" x14ac:dyDescent="0.25">
      <c r="A9" s="70" t="s">
        <v>300</v>
      </c>
      <c r="B9" s="154" t="s">
        <v>344</v>
      </c>
      <c r="C9" s="151" t="s">
        <v>344</v>
      </c>
      <c r="D9" s="151" t="s">
        <v>344</v>
      </c>
      <c r="E9" s="151" t="s">
        <v>344</v>
      </c>
      <c r="F9" s="151" t="s">
        <v>344</v>
      </c>
      <c r="G9" s="151" t="s">
        <v>344</v>
      </c>
      <c r="H9" s="150">
        <v>1744567</v>
      </c>
      <c r="I9" s="150">
        <v>1632300</v>
      </c>
      <c r="J9" s="150">
        <v>1406163</v>
      </c>
      <c r="K9" s="151">
        <v>1412440</v>
      </c>
      <c r="L9" s="151">
        <v>710595</v>
      </c>
      <c r="M9" s="151">
        <v>576758</v>
      </c>
      <c r="N9" s="151">
        <v>411642</v>
      </c>
      <c r="O9" s="151">
        <v>284986</v>
      </c>
      <c r="P9" s="151">
        <v>146540</v>
      </c>
      <c r="Q9" s="151">
        <v>43393</v>
      </c>
      <c r="R9" s="152">
        <v>16926</v>
      </c>
      <c r="S9" s="153" t="s">
        <v>344</v>
      </c>
      <c r="T9" s="207"/>
    </row>
    <row r="10" spans="1:20" s="12" customFormat="1" x14ac:dyDescent="0.25">
      <c r="A10" s="70" t="s">
        <v>368</v>
      </c>
      <c r="B10" s="162">
        <v>1604160</v>
      </c>
      <c r="C10" s="205">
        <v>1722014</v>
      </c>
      <c r="D10" s="163">
        <v>1775429</v>
      </c>
      <c r="E10" s="163">
        <v>1121940</v>
      </c>
      <c r="F10" s="155">
        <v>763865</v>
      </c>
      <c r="G10" s="151">
        <v>539245</v>
      </c>
      <c r="H10" s="150">
        <v>482993</v>
      </c>
      <c r="I10" s="150">
        <v>438197</v>
      </c>
      <c r="J10" s="150">
        <v>485322</v>
      </c>
      <c r="K10" s="151">
        <v>502642</v>
      </c>
      <c r="L10" s="151">
        <v>490303</v>
      </c>
      <c r="M10" s="151">
        <v>73323</v>
      </c>
      <c r="N10" s="151">
        <v>65846</v>
      </c>
      <c r="O10" s="151">
        <v>64304</v>
      </c>
      <c r="P10" s="151">
        <v>65928</v>
      </c>
      <c r="Q10" s="151">
        <v>32655</v>
      </c>
      <c r="R10" s="152">
        <v>26648</v>
      </c>
      <c r="S10" s="153">
        <v>9171</v>
      </c>
      <c r="T10" s="206"/>
    </row>
    <row r="11" spans="1:20" s="12" customFormat="1" x14ac:dyDescent="0.25">
      <c r="A11" s="70" t="s">
        <v>369</v>
      </c>
      <c r="B11" s="156" t="s">
        <v>344</v>
      </c>
      <c r="C11" s="155" t="s">
        <v>344</v>
      </c>
      <c r="D11" s="155" t="s">
        <v>344</v>
      </c>
      <c r="E11" s="155" t="s">
        <v>344</v>
      </c>
      <c r="F11" s="155" t="s">
        <v>344</v>
      </c>
      <c r="G11" s="155" t="s">
        <v>344</v>
      </c>
      <c r="H11" s="150">
        <v>873802</v>
      </c>
      <c r="I11" s="150">
        <v>745996</v>
      </c>
      <c r="J11" s="150">
        <v>481003</v>
      </c>
      <c r="K11" s="151">
        <v>414349</v>
      </c>
      <c r="L11" s="151">
        <v>432536</v>
      </c>
      <c r="M11" s="151">
        <v>371654</v>
      </c>
      <c r="N11" s="151">
        <v>313933</v>
      </c>
      <c r="O11" s="151" t="s">
        <v>344</v>
      </c>
      <c r="P11" s="151" t="s">
        <v>344</v>
      </c>
      <c r="Q11" s="151" t="s">
        <v>344</v>
      </c>
      <c r="R11" s="152" t="s">
        <v>344</v>
      </c>
      <c r="S11" s="153" t="s">
        <v>344</v>
      </c>
      <c r="T11" s="206"/>
    </row>
    <row r="12" spans="1:20" s="12" customFormat="1" x14ac:dyDescent="0.25">
      <c r="A12" s="70" t="s">
        <v>370</v>
      </c>
      <c r="B12" s="156" t="s">
        <v>344</v>
      </c>
      <c r="C12" s="155" t="s">
        <v>344</v>
      </c>
      <c r="D12" s="155" t="s">
        <v>344</v>
      </c>
      <c r="E12" s="155" t="s">
        <v>344</v>
      </c>
      <c r="F12" s="155" t="s">
        <v>344</v>
      </c>
      <c r="G12" s="155" t="s">
        <v>344</v>
      </c>
      <c r="H12" s="150">
        <v>213225</v>
      </c>
      <c r="I12" s="150">
        <v>201430</v>
      </c>
      <c r="J12" s="150">
        <v>199606</v>
      </c>
      <c r="K12" s="151">
        <v>112788</v>
      </c>
      <c r="L12" s="151">
        <v>89597</v>
      </c>
      <c r="M12" s="151" t="s">
        <v>46</v>
      </c>
      <c r="N12" s="151">
        <v>59605</v>
      </c>
      <c r="O12" s="151">
        <v>8487</v>
      </c>
      <c r="P12" s="151">
        <v>4718</v>
      </c>
      <c r="Q12" s="151">
        <v>954</v>
      </c>
      <c r="R12" s="152" t="s">
        <v>344</v>
      </c>
      <c r="S12" s="153" t="s">
        <v>344</v>
      </c>
      <c r="T12" s="207"/>
    </row>
    <row r="13" spans="1:20" s="12" customFormat="1" x14ac:dyDescent="0.25">
      <c r="A13" s="70" t="s">
        <v>371</v>
      </c>
      <c r="B13" s="156" t="s">
        <v>344</v>
      </c>
      <c r="C13" s="155" t="s">
        <v>344</v>
      </c>
      <c r="D13" s="155" t="s">
        <v>344</v>
      </c>
      <c r="E13" s="155" t="s">
        <v>344</v>
      </c>
      <c r="F13" s="155" t="s">
        <v>344</v>
      </c>
      <c r="G13" s="155" t="s">
        <v>344</v>
      </c>
      <c r="H13" s="150">
        <v>423762</v>
      </c>
      <c r="I13" s="150">
        <v>151825</v>
      </c>
      <c r="J13" s="150">
        <v>170886</v>
      </c>
      <c r="K13" s="157" t="s">
        <v>344</v>
      </c>
      <c r="L13" s="157" t="s">
        <v>344</v>
      </c>
      <c r="M13" s="157" t="s">
        <v>344</v>
      </c>
      <c r="N13" s="157" t="s">
        <v>344</v>
      </c>
      <c r="O13" s="157" t="s">
        <v>344</v>
      </c>
      <c r="P13" s="157" t="s">
        <v>344</v>
      </c>
      <c r="Q13" s="157" t="s">
        <v>344</v>
      </c>
      <c r="R13" s="157" t="s">
        <v>344</v>
      </c>
      <c r="S13" s="158" t="s">
        <v>344</v>
      </c>
      <c r="T13" s="207"/>
    </row>
    <row r="14" spans="1:20" s="12" customFormat="1" x14ac:dyDescent="0.25">
      <c r="A14" s="69" t="s">
        <v>372</v>
      </c>
      <c r="B14" s="162">
        <v>1243572</v>
      </c>
      <c r="C14" s="205">
        <v>1317319</v>
      </c>
      <c r="D14" s="163">
        <v>1308227</v>
      </c>
      <c r="E14" s="163">
        <v>1128276</v>
      </c>
      <c r="F14" s="163">
        <v>969912</v>
      </c>
      <c r="G14" s="155">
        <v>1384277</v>
      </c>
      <c r="H14" s="159" t="s">
        <v>344</v>
      </c>
      <c r="I14" s="159" t="s">
        <v>344</v>
      </c>
      <c r="J14" s="159" t="s">
        <v>344</v>
      </c>
      <c r="K14" s="159" t="s">
        <v>344</v>
      </c>
      <c r="L14" s="159" t="s">
        <v>344</v>
      </c>
      <c r="M14" s="159" t="s">
        <v>344</v>
      </c>
      <c r="N14" s="159" t="s">
        <v>344</v>
      </c>
      <c r="O14" s="159" t="s">
        <v>344</v>
      </c>
      <c r="P14" s="159" t="s">
        <v>344</v>
      </c>
      <c r="Q14" s="159" t="s">
        <v>344</v>
      </c>
      <c r="R14" s="159" t="s">
        <v>344</v>
      </c>
      <c r="S14" s="160" t="s">
        <v>344</v>
      </c>
      <c r="T14" s="207"/>
    </row>
    <row r="15" spans="1:20" s="12" customFormat="1" x14ac:dyDescent="0.25">
      <c r="A15" s="69" t="s">
        <v>373</v>
      </c>
      <c r="B15" s="162">
        <v>5953975</v>
      </c>
      <c r="C15" s="205">
        <v>5852707</v>
      </c>
      <c r="D15" s="163">
        <v>3900719</v>
      </c>
      <c r="E15" s="163">
        <v>5474361</v>
      </c>
      <c r="F15" s="163">
        <v>5311382</v>
      </c>
      <c r="G15" s="155">
        <v>8138110</v>
      </c>
      <c r="H15" s="150">
        <v>13752502</v>
      </c>
      <c r="I15" s="150">
        <v>20910520</v>
      </c>
      <c r="J15" s="150">
        <v>24026752</v>
      </c>
      <c r="K15" s="151">
        <v>26548664</v>
      </c>
      <c r="L15" s="151">
        <v>28342048</v>
      </c>
      <c r="M15" s="151">
        <v>29894492</v>
      </c>
      <c r="N15" s="151">
        <v>31809701</v>
      </c>
      <c r="O15" s="151">
        <v>32800710</v>
      </c>
      <c r="P15" s="151">
        <v>33138944</v>
      </c>
      <c r="Q15" s="151">
        <v>18873025</v>
      </c>
      <c r="R15" s="152">
        <v>14407270</v>
      </c>
      <c r="S15" s="153"/>
      <c r="T15" s="207"/>
    </row>
    <row r="16" spans="1:20" s="12" customFormat="1" x14ac:dyDescent="0.25">
      <c r="A16" s="71" t="s">
        <v>374</v>
      </c>
      <c r="B16" s="156" t="s">
        <v>344</v>
      </c>
      <c r="C16" s="155" t="s">
        <v>344</v>
      </c>
      <c r="D16" s="155" t="s">
        <v>344</v>
      </c>
      <c r="E16" s="155" t="s">
        <v>344</v>
      </c>
      <c r="F16" s="155" t="s">
        <v>344</v>
      </c>
      <c r="G16" s="155" t="s">
        <v>344</v>
      </c>
      <c r="H16" s="150">
        <v>4870078</v>
      </c>
      <c r="I16" s="150">
        <v>7964631</v>
      </c>
      <c r="J16" s="150">
        <v>10212346</v>
      </c>
      <c r="K16" s="151">
        <v>12063344</v>
      </c>
      <c r="L16" s="151" t="s">
        <v>344</v>
      </c>
      <c r="M16" s="151" t="s">
        <v>344</v>
      </c>
      <c r="N16" s="151" t="s">
        <v>344</v>
      </c>
      <c r="O16" s="151" t="s">
        <v>344</v>
      </c>
      <c r="P16" s="151" t="s">
        <v>344</v>
      </c>
      <c r="Q16" s="151" t="s">
        <v>344</v>
      </c>
      <c r="R16" s="152" t="s">
        <v>344</v>
      </c>
      <c r="S16" s="153" t="s">
        <v>344</v>
      </c>
      <c r="T16" s="207"/>
    </row>
    <row r="17" spans="1:20" s="12" customFormat="1" x14ac:dyDescent="0.25">
      <c r="A17" s="71" t="s">
        <v>375</v>
      </c>
      <c r="B17" s="156" t="s">
        <v>344</v>
      </c>
      <c r="C17" s="155" t="s">
        <v>344</v>
      </c>
      <c r="D17" s="155" t="s">
        <v>344</v>
      </c>
      <c r="E17" s="155" t="s">
        <v>344</v>
      </c>
      <c r="F17" s="155" t="s">
        <v>344</v>
      </c>
      <c r="G17" s="155" t="s">
        <v>344</v>
      </c>
      <c r="H17" s="130" t="s">
        <v>344</v>
      </c>
      <c r="I17" s="130" t="s">
        <v>344</v>
      </c>
      <c r="J17" s="161" t="s">
        <v>344</v>
      </c>
      <c r="K17" s="151" t="s">
        <v>344</v>
      </c>
      <c r="L17" s="151" t="s">
        <v>344</v>
      </c>
      <c r="M17" s="151" t="s">
        <v>344</v>
      </c>
      <c r="N17" s="151" t="s">
        <v>344</v>
      </c>
      <c r="O17" s="155" t="s">
        <v>344</v>
      </c>
      <c r="P17" s="151" t="s">
        <v>344</v>
      </c>
      <c r="Q17" s="151">
        <v>10522149</v>
      </c>
      <c r="R17" s="152">
        <v>7557966</v>
      </c>
      <c r="S17" s="153">
        <v>2874106</v>
      </c>
      <c r="T17" s="206"/>
    </row>
    <row r="18" spans="1:20" s="12" customFormat="1" x14ac:dyDescent="0.25">
      <c r="A18" s="71" t="s">
        <v>376</v>
      </c>
      <c r="B18" s="156" t="s">
        <v>344</v>
      </c>
      <c r="C18" s="155" t="s">
        <v>344</v>
      </c>
      <c r="D18" s="155" t="s">
        <v>344</v>
      </c>
      <c r="E18" s="155" t="s">
        <v>344</v>
      </c>
      <c r="F18" s="155" t="s">
        <v>344</v>
      </c>
      <c r="G18" s="155" t="s">
        <v>344</v>
      </c>
      <c r="H18" s="150">
        <v>2971347</v>
      </c>
      <c r="I18" s="150">
        <v>4411973</v>
      </c>
      <c r="J18" s="150">
        <v>4785771</v>
      </c>
      <c r="K18" s="151">
        <v>4954210</v>
      </c>
      <c r="L18" s="151" t="s">
        <v>344</v>
      </c>
      <c r="M18" s="151" t="s">
        <v>344</v>
      </c>
      <c r="N18" s="151" t="s">
        <v>344</v>
      </c>
      <c r="O18" s="155" t="s">
        <v>344</v>
      </c>
      <c r="P18" s="151" t="s">
        <v>344</v>
      </c>
      <c r="Q18" s="151">
        <f t="shared" ref="Q18" si="0">SUM(Q19:Q20)</f>
        <v>6012131</v>
      </c>
      <c r="R18" s="152">
        <f>SUM(R19:R20)</f>
        <v>4706126</v>
      </c>
      <c r="S18" s="153">
        <f>SUM(S19:S20)</f>
        <v>1741317</v>
      </c>
      <c r="T18" s="206"/>
    </row>
    <row r="19" spans="1:20" s="12" customFormat="1" x14ac:dyDescent="0.25">
      <c r="A19" s="70" t="s">
        <v>377</v>
      </c>
      <c r="B19" s="156" t="s">
        <v>344</v>
      </c>
      <c r="C19" s="155" t="s">
        <v>344</v>
      </c>
      <c r="D19" s="155" t="s">
        <v>344</v>
      </c>
      <c r="E19" s="155" t="s">
        <v>344</v>
      </c>
      <c r="F19" s="155" t="s">
        <v>344</v>
      </c>
      <c r="G19" s="155" t="s">
        <v>344</v>
      </c>
      <c r="H19" s="151" t="s">
        <v>344</v>
      </c>
      <c r="I19" s="151" t="s">
        <v>344</v>
      </c>
      <c r="J19" s="151" t="s">
        <v>344</v>
      </c>
      <c r="K19" s="151" t="s">
        <v>344</v>
      </c>
      <c r="L19" s="151" t="s">
        <v>344</v>
      </c>
      <c r="M19" s="151" t="s">
        <v>344</v>
      </c>
      <c r="N19" s="151" t="s">
        <v>344</v>
      </c>
      <c r="O19" s="155" t="s">
        <v>344</v>
      </c>
      <c r="P19" s="151" t="s">
        <v>344</v>
      </c>
      <c r="Q19" s="151">
        <v>181343</v>
      </c>
      <c r="R19" s="152">
        <v>129654</v>
      </c>
      <c r="S19" s="153">
        <v>51707</v>
      </c>
      <c r="T19" s="206"/>
    </row>
    <row r="20" spans="1:20" s="12" customFormat="1" x14ac:dyDescent="0.25">
      <c r="A20" s="70" t="s">
        <v>378</v>
      </c>
      <c r="B20" s="156" t="s">
        <v>344</v>
      </c>
      <c r="C20" s="155" t="s">
        <v>344</v>
      </c>
      <c r="D20" s="155" t="s">
        <v>344</v>
      </c>
      <c r="E20" s="155" t="s">
        <v>344</v>
      </c>
      <c r="F20" s="155" t="s">
        <v>344</v>
      </c>
      <c r="G20" s="155" t="s">
        <v>344</v>
      </c>
      <c r="H20" s="151" t="s">
        <v>344</v>
      </c>
      <c r="I20" s="151" t="s">
        <v>344</v>
      </c>
      <c r="J20" s="151" t="s">
        <v>344</v>
      </c>
      <c r="K20" s="151" t="s">
        <v>344</v>
      </c>
      <c r="L20" s="151" t="s">
        <v>344</v>
      </c>
      <c r="M20" s="151" t="s">
        <v>344</v>
      </c>
      <c r="N20" s="151" t="s">
        <v>344</v>
      </c>
      <c r="O20" s="155" t="s">
        <v>344</v>
      </c>
      <c r="P20" s="151" t="s">
        <v>344</v>
      </c>
      <c r="Q20" s="151">
        <v>5830788</v>
      </c>
      <c r="R20" s="152">
        <v>4576472</v>
      </c>
      <c r="S20" s="153">
        <v>1689610</v>
      </c>
      <c r="T20" s="207"/>
    </row>
    <row r="21" spans="1:20" s="12" customFormat="1" x14ac:dyDescent="0.25">
      <c r="A21" s="71" t="s">
        <v>379</v>
      </c>
      <c r="B21" s="156" t="s">
        <v>344</v>
      </c>
      <c r="C21" s="155" t="s">
        <v>344</v>
      </c>
      <c r="D21" s="155" t="s">
        <v>344</v>
      </c>
      <c r="E21" s="155" t="s">
        <v>344</v>
      </c>
      <c r="F21" s="155" t="s">
        <v>344</v>
      </c>
      <c r="G21" s="155" t="s">
        <v>344</v>
      </c>
      <c r="H21" s="150">
        <v>1397732</v>
      </c>
      <c r="I21" s="150">
        <v>2281202</v>
      </c>
      <c r="J21" s="150">
        <v>2656115</v>
      </c>
      <c r="K21" s="151">
        <v>1547531</v>
      </c>
      <c r="L21" s="151" t="s">
        <v>344</v>
      </c>
      <c r="M21" s="151" t="s">
        <v>344</v>
      </c>
      <c r="N21" s="151" t="s">
        <v>344</v>
      </c>
      <c r="O21" s="155" t="s">
        <v>344</v>
      </c>
      <c r="P21" s="151" t="s">
        <v>344</v>
      </c>
      <c r="Q21" s="151">
        <v>1426582</v>
      </c>
      <c r="R21" s="152">
        <v>1420373</v>
      </c>
      <c r="S21" s="153">
        <v>540133</v>
      </c>
      <c r="T21" s="206"/>
    </row>
    <row r="22" spans="1:20" s="12" customFormat="1" x14ac:dyDescent="0.25">
      <c r="A22" s="71" t="s">
        <v>380</v>
      </c>
      <c r="B22" s="156" t="s">
        <v>344</v>
      </c>
      <c r="C22" s="155" t="s">
        <v>344</v>
      </c>
      <c r="D22" s="155" t="s">
        <v>344</v>
      </c>
      <c r="E22" s="155" t="s">
        <v>344</v>
      </c>
      <c r="F22" s="155" t="s">
        <v>344</v>
      </c>
      <c r="G22" s="155" t="s">
        <v>344</v>
      </c>
      <c r="H22" s="150">
        <v>4085270</v>
      </c>
      <c r="I22" s="150">
        <v>5949260</v>
      </c>
      <c r="J22" s="150">
        <v>6167428</v>
      </c>
      <c r="K22" s="151">
        <v>6198045</v>
      </c>
      <c r="L22" s="151" t="s">
        <v>344</v>
      </c>
      <c r="M22" s="151" t="s">
        <v>344</v>
      </c>
      <c r="N22" s="151" t="s">
        <v>344</v>
      </c>
      <c r="O22" s="155" t="s">
        <v>344</v>
      </c>
      <c r="P22" s="151" t="s">
        <v>344</v>
      </c>
      <c r="Q22" s="151">
        <v>912163</v>
      </c>
      <c r="R22" s="152">
        <v>722805</v>
      </c>
      <c r="S22" s="153">
        <v>416311</v>
      </c>
      <c r="T22" s="206"/>
    </row>
    <row r="23" spans="1:20" s="12" customFormat="1" x14ac:dyDescent="0.25">
      <c r="A23" s="71" t="s">
        <v>381</v>
      </c>
      <c r="B23" s="156" t="s">
        <v>344</v>
      </c>
      <c r="C23" s="155" t="s">
        <v>344</v>
      </c>
      <c r="D23" s="155" t="s">
        <v>344</v>
      </c>
      <c r="E23" s="155" t="s">
        <v>344</v>
      </c>
      <c r="F23" s="155" t="s">
        <v>344</v>
      </c>
      <c r="G23" s="155" t="s">
        <v>344</v>
      </c>
      <c r="H23" s="208" t="s">
        <v>344</v>
      </c>
      <c r="I23" s="151">
        <v>1211696</v>
      </c>
      <c r="J23" s="151">
        <v>1398331</v>
      </c>
      <c r="K23" s="151">
        <v>1645242</v>
      </c>
      <c r="L23" s="151" t="s">
        <v>344</v>
      </c>
      <c r="M23" s="151" t="s">
        <v>344</v>
      </c>
      <c r="N23" s="151" t="s">
        <v>344</v>
      </c>
      <c r="O23" s="151" t="s">
        <v>344</v>
      </c>
      <c r="P23" s="151" t="s">
        <v>344</v>
      </c>
      <c r="Q23" s="151" t="s">
        <v>344</v>
      </c>
      <c r="R23" s="152" t="s">
        <v>344</v>
      </c>
      <c r="S23" s="153" t="s">
        <v>344</v>
      </c>
      <c r="T23" s="206"/>
    </row>
    <row r="24" spans="1:20" s="12" customFormat="1" x14ac:dyDescent="0.25">
      <c r="A24" s="71" t="s">
        <v>382</v>
      </c>
      <c r="B24" s="156" t="s">
        <v>344</v>
      </c>
      <c r="C24" s="155" t="s">
        <v>344</v>
      </c>
      <c r="D24" s="155" t="s">
        <v>344</v>
      </c>
      <c r="E24" s="155" t="s">
        <v>344</v>
      </c>
      <c r="F24" s="155" t="s">
        <v>344</v>
      </c>
      <c r="G24" s="155" t="s">
        <v>344</v>
      </c>
      <c r="H24" s="150">
        <v>428074</v>
      </c>
      <c r="I24" s="150">
        <v>303453</v>
      </c>
      <c r="J24" s="150">
        <v>205092</v>
      </c>
      <c r="K24" s="151">
        <v>140293</v>
      </c>
      <c r="L24" s="151" t="s">
        <v>344</v>
      </c>
      <c r="M24" s="151" t="s">
        <v>344</v>
      </c>
      <c r="N24" s="151" t="s">
        <v>344</v>
      </c>
      <c r="O24" s="151" t="s">
        <v>344</v>
      </c>
      <c r="P24" s="151" t="s">
        <v>344</v>
      </c>
      <c r="Q24" s="151" t="s">
        <v>344</v>
      </c>
      <c r="R24" s="152" t="s">
        <v>344</v>
      </c>
      <c r="S24" s="153" t="s">
        <v>344</v>
      </c>
      <c r="T24" s="206"/>
    </row>
    <row r="25" spans="1:20" s="12" customFormat="1" x14ac:dyDescent="0.25">
      <c r="A25" s="69" t="s">
        <v>383</v>
      </c>
      <c r="B25" s="162">
        <v>597986</v>
      </c>
      <c r="C25" s="205">
        <v>577922</v>
      </c>
      <c r="D25" s="163">
        <v>639600</v>
      </c>
      <c r="E25" s="163">
        <v>1387188</v>
      </c>
      <c r="F25" s="163">
        <v>2517952</v>
      </c>
      <c r="G25" s="155">
        <v>2254454</v>
      </c>
      <c r="H25" s="151" t="s">
        <v>344</v>
      </c>
      <c r="I25" s="151" t="s">
        <v>344</v>
      </c>
      <c r="J25" s="151" t="s">
        <v>344</v>
      </c>
      <c r="K25" s="151" t="s">
        <v>344</v>
      </c>
      <c r="L25" s="151" t="s">
        <v>344</v>
      </c>
      <c r="M25" s="151" t="s">
        <v>344</v>
      </c>
      <c r="N25" s="151" t="s">
        <v>344</v>
      </c>
      <c r="O25" s="151" t="s">
        <v>344</v>
      </c>
      <c r="P25" s="151" t="s">
        <v>344</v>
      </c>
      <c r="Q25" s="151" t="s">
        <v>344</v>
      </c>
      <c r="R25" s="152" t="s">
        <v>344</v>
      </c>
      <c r="S25" s="153" t="s">
        <v>344</v>
      </c>
      <c r="T25" s="206"/>
    </row>
    <row r="26" spans="1:20" s="12" customFormat="1" x14ac:dyDescent="0.25">
      <c r="A26" s="69" t="s">
        <v>384</v>
      </c>
      <c r="B26" s="162">
        <v>1383324</v>
      </c>
      <c r="C26" s="205">
        <v>1292537</v>
      </c>
      <c r="D26" s="163">
        <v>1508997</v>
      </c>
      <c r="E26" s="163">
        <v>2371822</v>
      </c>
      <c r="F26" s="163">
        <v>2632066</v>
      </c>
      <c r="G26" s="155">
        <v>2885763</v>
      </c>
      <c r="H26" s="150">
        <v>6682410</v>
      </c>
      <c r="I26" s="150">
        <v>3107929</v>
      </c>
      <c r="J26" s="150">
        <v>2096039</v>
      </c>
      <c r="K26" s="151">
        <v>1586603</v>
      </c>
      <c r="L26" s="151">
        <v>1552112</v>
      </c>
      <c r="M26" s="151">
        <v>1620009</v>
      </c>
      <c r="N26" s="151">
        <v>759035</v>
      </c>
      <c r="O26" s="151">
        <v>125886</v>
      </c>
      <c r="P26" s="151">
        <v>96347</v>
      </c>
      <c r="Q26" s="151">
        <v>79902</v>
      </c>
      <c r="R26" s="152">
        <v>95729</v>
      </c>
      <c r="S26" s="153">
        <v>129778</v>
      </c>
      <c r="T26" s="206"/>
    </row>
    <row r="27" spans="1:20" s="12" customFormat="1" x14ac:dyDescent="0.25">
      <c r="A27" s="72" t="s">
        <v>385</v>
      </c>
      <c r="B27" s="156" t="s">
        <v>344</v>
      </c>
      <c r="C27" s="155" t="s">
        <v>344</v>
      </c>
      <c r="D27" s="155" t="s">
        <v>344</v>
      </c>
      <c r="E27" s="155" t="s">
        <v>344</v>
      </c>
      <c r="F27" s="155" t="s">
        <v>344</v>
      </c>
      <c r="G27" s="155" t="s">
        <v>344</v>
      </c>
      <c r="H27" s="151">
        <v>3229832</v>
      </c>
      <c r="I27" s="151">
        <v>2331512</v>
      </c>
      <c r="J27" s="151">
        <v>1586912</v>
      </c>
      <c r="K27" s="151">
        <v>1586603</v>
      </c>
      <c r="L27" s="151">
        <v>1552112</v>
      </c>
      <c r="M27" s="151">
        <v>1620009</v>
      </c>
      <c r="N27" s="151">
        <v>759035</v>
      </c>
      <c r="O27" s="151">
        <v>125886</v>
      </c>
      <c r="P27" s="151">
        <v>96347</v>
      </c>
      <c r="Q27" s="151">
        <v>79902</v>
      </c>
      <c r="R27" s="152">
        <v>95729</v>
      </c>
      <c r="S27" s="153">
        <v>129778</v>
      </c>
      <c r="T27" s="206"/>
    </row>
    <row r="28" spans="1:20" s="12" customFormat="1" x14ac:dyDescent="0.25">
      <c r="A28" s="72" t="s">
        <v>386</v>
      </c>
      <c r="B28" s="156" t="s">
        <v>344</v>
      </c>
      <c r="C28" s="155" t="s">
        <v>344</v>
      </c>
      <c r="D28" s="155" t="s">
        <v>344</v>
      </c>
      <c r="E28" s="155" t="s">
        <v>344</v>
      </c>
      <c r="F28" s="155" t="s">
        <v>344</v>
      </c>
      <c r="G28" s="155" t="s">
        <v>344</v>
      </c>
      <c r="H28" s="151">
        <v>3452578</v>
      </c>
      <c r="I28" s="151">
        <v>776417</v>
      </c>
      <c r="J28" s="151">
        <v>509127</v>
      </c>
      <c r="K28" s="151" t="s">
        <v>344</v>
      </c>
      <c r="L28" s="151" t="s">
        <v>344</v>
      </c>
      <c r="M28" s="151" t="s">
        <v>344</v>
      </c>
      <c r="N28" s="151" t="s">
        <v>344</v>
      </c>
      <c r="O28" s="151" t="s">
        <v>344</v>
      </c>
      <c r="P28" s="151" t="s">
        <v>344</v>
      </c>
      <c r="Q28" s="151" t="s">
        <v>344</v>
      </c>
      <c r="R28" s="152" t="s">
        <v>344</v>
      </c>
      <c r="S28" s="153" t="s">
        <v>344</v>
      </c>
      <c r="T28" s="206"/>
    </row>
    <row r="29" spans="1:20" s="63" customFormat="1" x14ac:dyDescent="0.25">
      <c r="A29" s="68" t="s">
        <v>387</v>
      </c>
      <c r="B29" s="156" t="s">
        <v>344</v>
      </c>
      <c r="C29" s="155" t="s">
        <v>344</v>
      </c>
      <c r="D29" s="155" t="s">
        <v>344</v>
      </c>
      <c r="E29" s="155" t="s">
        <v>344</v>
      </c>
      <c r="F29" s="151">
        <v>0</v>
      </c>
      <c r="G29" s="172">
        <v>110792</v>
      </c>
      <c r="H29" s="151" t="s">
        <v>344</v>
      </c>
      <c r="I29" s="151" t="s">
        <v>344</v>
      </c>
      <c r="J29" s="151" t="s">
        <v>344</v>
      </c>
      <c r="K29" s="151" t="s">
        <v>344</v>
      </c>
      <c r="L29" s="151" t="s">
        <v>344</v>
      </c>
      <c r="M29" s="151" t="s">
        <v>344</v>
      </c>
      <c r="N29" s="151" t="s">
        <v>344</v>
      </c>
      <c r="O29" s="151" t="s">
        <v>344</v>
      </c>
      <c r="P29" s="151" t="s">
        <v>344</v>
      </c>
      <c r="Q29" s="151" t="s">
        <v>344</v>
      </c>
      <c r="R29" s="152" t="s">
        <v>344</v>
      </c>
      <c r="S29" s="153" t="s">
        <v>344</v>
      </c>
      <c r="T29" s="206"/>
    </row>
    <row r="30" spans="1:20" s="12" customFormat="1" x14ac:dyDescent="0.25">
      <c r="A30" s="68" t="s">
        <v>388</v>
      </c>
      <c r="B30" s="162">
        <v>6707</v>
      </c>
      <c r="C30" s="205">
        <v>7230</v>
      </c>
      <c r="D30" s="163">
        <v>7844</v>
      </c>
      <c r="E30" s="163">
        <v>7901</v>
      </c>
      <c r="F30" s="155">
        <v>7901</v>
      </c>
      <c r="G30" s="155">
        <v>7901</v>
      </c>
      <c r="H30" s="151" t="s">
        <v>344</v>
      </c>
      <c r="I30" s="151" t="s">
        <v>344</v>
      </c>
      <c r="J30" s="151" t="s">
        <v>344</v>
      </c>
      <c r="K30" s="151" t="s">
        <v>344</v>
      </c>
      <c r="L30" s="151" t="s">
        <v>344</v>
      </c>
      <c r="M30" s="151" t="s">
        <v>344</v>
      </c>
      <c r="N30" s="151" t="s">
        <v>344</v>
      </c>
      <c r="O30" s="151" t="s">
        <v>344</v>
      </c>
      <c r="P30" s="151" t="s">
        <v>344</v>
      </c>
      <c r="Q30" s="151" t="s">
        <v>344</v>
      </c>
      <c r="R30" s="152" t="s">
        <v>344</v>
      </c>
      <c r="S30" s="153" t="s">
        <v>344</v>
      </c>
      <c r="T30" s="206"/>
    </row>
    <row r="31" spans="1:20" s="12" customFormat="1" x14ac:dyDescent="0.25">
      <c r="A31" s="68" t="s">
        <v>389</v>
      </c>
      <c r="B31" s="162">
        <v>336230</v>
      </c>
      <c r="C31" s="205">
        <v>182717</v>
      </c>
      <c r="D31" s="163">
        <v>194558</v>
      </c>
      <c r="E31" s="163">
        <v>98347</v>
      </c>
      <c r="F31" s="163">
        <v>5033</v>
      </c>
      <c r="G31" s="155">
        <v>8767</v>
      </c>
      <c r="H31" s="151" t="s">
        <v>344</v>
      </c>
      <c r="I31" s="151" t="s">
        <v>344</v>
      </c>
      <c r="J31" s="151" t="s">
        <v>344</v>
      </c>
      <c r="K31" s="151" t="s">
        <v>344</v>
      </c>
      <c r="L31" s="151" t="s">
        <v>344</v>
      </c>
      <c r="M31" s="151" t="s">
        <v>344</v>
      </c>
      <c r="N31" s="151" t="s">
        <v>344</v>
      </c>
      <c r="O31" s="151" t="s">
        <v>344</v>
      </c>
      <c r="P31" s="151" t="s">
        <v>344</v>
      </c>
      <c r="Q31" s="151" t="s">
        <v>344</v>
      </c>
      <c r="R31" s="152" t="s">
        <v>344</v>
      </c>
      <c r="S31" s="153" t="s">
        <v>344</v>
      </c>
      <c r="T31" s="206"/>
    </row>
    <row r="32" spans="1:20" s="12" customFormat="1" x14ac:dyDescent="0.25">
      <c r="A32" s="69" t="s">
        <v>378</v>
      </c>
      <c r="B32" s="154" t="s">
        <v>344</v>
      </c>
      <c r="C32" s="151" t="s">
        <v>344</v>
      </c>
      <c r="D32" s="151" t="s">
        <v>344</v>
      </c>
      <c r="E32" s="151" t="s">
        <v>344</v>
      </c>
      <c r="F32" s="151" t="s">
        <v>344</v>
      </c>
      <c r="G32" s="151" t="s">
        <v>344</v>
      </c>
      <c r="H32" s="151" t="s">
        <v>344</v>
      </c>
      <c r="I32" s="151" t="s">
        <v>344</v>
      </c>
      <c r="J32" s="151" t="s">
        <v>344</v>
      </c>
      <c r="K32" s="151" t="s">
        <v>344</v>
      </c>
      <c r="L32" s="151" t="s">
        <v>344</v>
      </c>
      <c r="M32" s="151" t="s">
        <v>344</v>
      </c>
      <c r="N32" s="151" t="s">
        <v>344</v>
      </c>
      <c r="O32" s="151" t="s">
        <v>344</v>
      </c>
      <c r="P32" s="151" t="s">
        <v>344</v>
      </c>
      <c r="Q32" s="151" t="s">
        <v>344</v>
      </c>
      <c r="R32" s="152">
        <v>50351</v>
      </c>
      <c r="S32" s="153" t="s">
        <v>344</v>
      </c>
      <c r="T32" s="207"/>
    </row>
    <row r="33" spans="1:20" s="12" customFormat="1" x14ac:dyDescent="0.25">
      <c r="A33" s="69" t="s">
        <v>375</v>
      </c>
      <c r="B33" s="154" t="s">
        <v>344</v>
      </c>
      <c r="C33" s="151" t="s">
        <v>344</v>
      </c>
      <c r="D33" s="151" t="s">
        <v>344</v>
      </c>
      <c r="E33" s="151" t="s">
        <v>344</v>
      </c>
      <c r="F33" s="151" t="s">
        <v>344</v>
      </c>
      <c r="G33" s="151" t="s">
        <v>344</v>
      </c>
      <c r="H33" s="151" t="s">
        <v>344</v>
      </c>
      <c r="I33" s="151" t="s">
        <v>344</v>
      </c>
      <c r="J33" s="151" t="s">
        <v>344</v>
      </c>
      <c r="K33" s="151" t="s">
        <v>344</v>
      </c>
      <c r="L33" s="151" t="s">
        <v>344</v>
      </c>
      <c r="M33" s="151" t="s">
        <v>344</v>
      </c>
      <c r="N33" s="151" t="s">
        <v>344</v>
      </c>
      <c r="O33" s="151" t="s">
        <v>344</v>
      </c>
      <c r="P33" s="151" t="s">
        <v>344</v>
      </c>
      <c r="Q33" s="151" t="s">
        <v>344</v>
      </c>
      <c r="R33" s="152">
        <v>35177</v>
      </c>
      <c r="S33" s="153" t="s">
        <v>344</v>
      </c>
      <c r="T33" s="209"/>
    </row>
    <row r="34" spans="1:20" s="12" customFormat="1" x14ac:dyDescent="0.25">
      <c r="A34" s="69" t="s">
        <v>390</v>
      </c>
      <c r="B34" s="154" t="s">
        <v>344</v>
      </c>
      <c r="C34" s="151" t="s">
        <v>344</v>
      </c>
      <c r="D34" s="151" t="s">
        <v>344</v>
      </c>
      <c r="E34" s="151" t="s">
        <v>344</v>
      </c>
      <c r="F34" s="151" t="s">
        <v>344</v>
      </c>
      <c r="G34" s="151" t="s">
        <v>344</v>
      </c>
      <c r="H34" s="150">
        <v>365360</v>
      </c>
      <c r="I34" s="150">
        <v>275845</v>
      </c>
      <c r="J34" s="150">
        <v>192849</v>
      </c>
      <c r="K34" s="151">
        <v>121091</v>
      </c>
      <c r="L34" s="151">
        <v>77383</v>
      </c>
      <c r="M34" s="151">
        <v>56562</v>
      </c>
      <c r="N34" s="151">
        <v>48584</v>
      </c>
      <c r="O34" s="151">
        <v>40613</v>
      </c>
      <c r="P34" s="151">
        <v>30939</v>
      </c>
      <c r="Q34" s="151">
        <v>22337</v>
      </c>
      <c r="R34" s="152">
        <v>13576</v>
      </c>
      <c r="S34" s="153" t="s">
        <v>344</v>
      </c>
    </row>
    <row r="35" spans="1:20" s="12" customFormat="1" x14ac:dyDescent="0.25">
      <c r="A35" s="69" t="s">
        <v>391</v>
      </c>
      <c r="B35" s="162">
        <v>1492175</v>
      </c>
      <c r="C35" s="205">
        <v>976954</v>
      </c>
      <c r="D35" s="163">
        <v>2110779</v>
      </c>
      <c r="E35" s="163">
        <v>871028</v>
      </c>
      <c r="F35" s="163">
        <v>2043432</v>
      </c>
      <c r="G35" s="151">
        <v>2117760</v>
      </c>
      <c r="H35" s="150">
        <v>2805669</v>
      </c>
      <c r="I35" s="150">
        <v>2170980</v>
      </c>
      <c r="J35" s="150">
        <v>1499803</v>
      </c>
      <c r="K35" s="151">
        <v>1043238</v>
      </c>
      <c r="L35" s="151">
        <v>707506</v>
      </c>
      <c r="M35" s="151">
        <v>409972</v>
      </c>
      <c r="N35" s="151">
        <v>224512</v>
      </c>
      <c r="O35" s="151">
        <v>133539</v>
      </c>
      <c r="P35" s="151">
        <v>71435</v>
      </c>
      <c r="Q35" s="151">
        <v>23422</v>
      </c>
      <c r="R35" s="152">
        <v>2795</v>
      </c>
      <c r="S35" s="153" t="s">
        <v>344</v>
      </c>
    </row>
    <row r="36" spans="1:20" s="12" customFormat="1" x14ac:dyDescent="0.25">
      <c r="A36" s="70" t="s">
        <v>392</v>
      </c>
      <c r="B36" s="162" t="s">
        <v>344</v>
      </c>
      <c r="C36" s="163" t="s">
        <v>344</v>
      </c>
      <c r="D36" s="163" t="s">
        <v>344</v>
      </c>
      <c r="E36" s="163" t="s">
        <v>344</v>
      </c>
      <c r="F36" s="163" t="s">
        <v>344</v>
      </c>
      <c r="G36" s="163" t="s">
        <v>344</v>
      </c>
      <c r="H36" s="150">
        <v>1709587</v>
      </c>
      <c r="I36" s="150">
        <v>1400425</v>
      </c>
      <c r="J36" s="150">
        <v>1056891</v>
      </c>
      <c r="K36" s="151">
        <v>809697</v>
      </c>
      <c r="L36" s="151">
        <v>580834</v>
      </c>
      <c r="M36" s="151">
        <v>367591</v>
      </c>
      <c r="N36" s="151">
        <v>193139</v>
      </c>
      <c r="O36" s="151">
        <v>119899</v>
      </c>
      <c r="P36" s="151">
        <v>61426</v>
      </c>
      <c r="Q36" s="151">
        <v>16984</v>
      </c>
      <c r="R36" s="152" t="s">
        <v>344</v>
      </c>
      <c r="S36" s="153" t="s">
        <v>344</v>
      </c>
    </row>
    <row r="37" spans="1:20" s="12" customFormat="1" x14ac:dyDescent="0.25">
      <c r="A37" s="70" t="s">
        <v>393</v>
      </c>
      <c r="B37" s="162" t="s">
        <v>344</v>
      </c>
      <c r="C37" s="163" t="s">
        <v>344</v>
      </c>
      <c r="D37" s="163" t="s">
        <v>344</v>
      </c>
      <c r="E37" s="163" t="s">
        <v>344</v>
      </c>
      <c r="F37" s="163" t="s">
        <v>344</v>
      </c>
      <c r="G37" s="163" t="s">
        <v>344</v>
      </c>
      <c r="H37" s="150">
        <v>841967</v>
      </c>
      <c r="I37" s="150">
        <v>599309</v>
      </c>
      <c r="J37" s="150">
        <v>355237</v>
      </c>
      <c r="K37" s="151">
        <v>199498</v>
      </c>
      <c r="L37" s="151">
        <v>114313</v>
      </c>
      <c r="M37" s="151">
        <v>28281</v>
      </c>
      <c r="N37" s="151" t="s">
        <v>344</v>
      </c>
      <c r="O37" s="151" t="s">
        <v>344</v>
      </c>
      <c r="P37" s="151" t="s">
        <v>344</v>
      </c>
      <c r="Q37" s="151" t="s">
        <v>344</v>
      </c>
      <c r="R37" s="152" t="s">
        <v>344</v>
      </c>
      <c r="S37" s="153" t="s">
        <v>344</v>
      </c>
    </row>
    <row r="38" spans="1:20" s="12" customFormat="1" x14ac:dyDescent="0.25">
      <c r="A38" s="70" t="s">
        <v>394</v>
      </c>
      <c r="B38" s="162" t="s">
        <v>344</v>
      </c>
      <c r="C38" s="163" t="s">
        <v>344</v>
      </c>
      <c r="D38" s="163" t="s">
        <v>344</v>
      </c>
      <c r="E38" s="163" t="s">
        <v>344</v>
      </c>
      <c r="F38" s="163" t="s">
        <v>344</v>
      </c>
      <c r="G38" s="163" t="s">
        <v>344</v>
      </c>
      <c r="H38" s="150">
        <v>176726</v>
      </c>
      <c r="I38" s="150">
        <v>125056</v>
      </c>
      <c r="J38" s="150">
        <v>73888</v>
      </c>
      <c r="K38" s="151">
        <v>34043</v>
      </c>
      <c r="L38" s="151">
        <v>12358</v>
      </c>
      <c r="M38" s="151">
        <v>14099</v>
      </c>
      <c r="N38" s="151">
        <v>14099</v>
      </c>
      <c r="O38" s="151" t="s">
        <v>344</v>
      </c>
      <c r="P38" s="151" t="s">
        <v>344</v>
      </c>
      <c r="Q38" s="151" t="s">
        <v>344</v>
      </c>
      <c r="R38" s="152" t="s">
        <v>344</v>
      </c>
      <c r="S38" s="153" t="s">
        <v>344</v>
      </c>
    </row>
    <row r="39" spans="1:20" s="12" customFormat="1" x14ac:dyDescent="0.25">
      <c r="A39" s="70" t="s">
        <v>395</v>
      </c>
      <c r="B39" s="162" t="s">
        <v>344</v>
      </c>
      <c r="C39" s="163" t="s">
        <v>344</v>
      </c>
      <c r="D39" s="163" t="s">
        <v>344</v>
      </c>
      <c r="E39" s="163" t="s">
        <v>344</v>
      </c>
      <c r="F39" s="163" t="s">
        <v>344</v>
      </c>
      <c r="G39" s="163" t="s">
        <v>344</v>
      </c>
      <c r="H39" s="150">
        <v>77388</v>
      </c>
      <c r="I39" s="150">
        <v>46189</v>
      </c>
      <c r="J39" s="150">
        <v>13787</v>
      </c>
      <c r="K39" s="151">
        <v>0</v>
      </c>
      <c r="L39" s="151" t="s">
        <v>344</v>
      </c>
      <c r="M39" s="151" t="s">
        <v>344</v>
      </c>
      <c r="N39" s="151">
        <v>17274</v>
      </c>
      <c r="O39" s="151">
        <v>13640</v>
      </c>
      <c r="P39" s="151">
        <v>10009</v>
      </c>
      <c r="Q39" s="151">
        <v>6438</v>
      </c>
      <c r="R39" s="152">
        <v>2795</v>
      </c>
      <c r="S39" s="153" t="s">
        <v>344</v>
      </c>
    </row>
    <row r="40" spans="1:20" s="12" customFormat="1" x14ac:dyDescent="0.25">
      <c r="A40" s="69" t="s">
        <v>396</v>
      </c>
      <c r="B40" s="162">
        <v>9248964</v>
      </c>
      <c r="C40" s="205">
        <v>11491814</v>
      </c>
      <c r="D40" s="163">
        <v>12885604</v>
      </c>
      <c r="E40" s="163">
        <v>14233271</v>
      </c>
      <c r="F40" s="163">
        <v>14023884</v>
      </c>
      <c r="G40" s="163">
        <v>13836865</v>
      </c>
      <c r="H40" s="150">
        <v>2483012</v>
      </c>
      <c r="I40" s="150">
        <v>1929898</v>
      </c>
      <c r="J40" s="150">
        <v>1205920</v>
      </c>
      <c r="K40" s="151">
        <v>526938</v>
      </c>
      <c r="L40" s="151">
        <v>8648</v>
      </c>
      <c r="M40" s="151" t="s">
        <v>344</v>
      </c>
      <c r="N40" s="151">
        <v>47539</v>
      </c>
      <c r="O40" s="151">
        <v>330829</v>
      </c>
      <c r="P40" s="151">
        <v>262157</v>
      </c>
      <c r="Q40" s="151">
        <v>54785</v>
      </c>
      <c r="R40" s="152">
        <v>128864</v>
      </c>
      <c r="S40" s="153">
        <v>76247</v>
      </c>
    </row>
    <row r="41" spans="1:20" s="12" customFormat="1" ht="15.75" thickBot="1" x14ac:dyDescent="0.3">
      <c r="A41" s="73" t="s">
        <v>286</v>
      </c>
      <c r="B41" s="164">
        <v>22909760</v>
      </c>
      <c r="C41" s="165">
        <v>24074006</v>
      </c>
      <c r="D41" s="166">
        <v>25482697</v>
      </c>
      <c r="E41" s="166">
        <v>27122350</v>
      </c>
      <c r="F41" s="166">
        <v>29159711</v>
      </c>
      <c r="G41" s="166">
        <v>32009372</v>
      </c>
      <c r="H41" s="167">
        <v>30312073</v>
      </c>
      <c r="I41" s="167">
        <v>31805799</v>
      </c>
      <c r="J41" s="167">
        <v>31857632</v>
      </c>
      <c r="K41" s="168">
        <v>32297918</v>
      </c>
      <c r="L41" s="168">
        <v>32447564</v>
      </c>
      <c r="M41" s="168">
        <v>33108843</v>
      </c>
      <c r="N41" s="168">
        <v>33751352</v>
      </c>
      <c r="O41" s="168">
        <v>33789354</v>
      </c>
      <c r="P41" s="168">
        <v>33817008</v>
      </c>
      <c r="Q41" s="168">
        <v>33144978</v>
      </c>
      <c r="R41" s="169">
        <v>29305531</v>
      </c>
      <c r="S41" s="170">
        <v>19734262</v>
      </c>
    </row>
    <row r="43" spans="1:20" s="12" customFormat="1" x14ac:dyDescent="0.25">
      <c r="B43" s="210"/>
      <c r="C43" s="210"/>
      <c r="D43" s="210"/>
      <c r="E43" s="210"/>
      <c r="J43" s="207"/>
      <c r="K43" s="207"/>
      <c r="L43" s="207"/>
      <c r="M43" s="207"/>
      <c r="N43" s="207"/>
      <c r="O43" s="209"/>
      <c r="P43" s="209"/>
      <c r="Q43" s="209"/>
      <c r="R43" s="209"/>
      <c r="S43" s="209"/>
    </row>
    <row r="44" spans="1:20" s="12" customFormat="1" x14ac:dyDescent="0.25">
      <c r="B44" s="198"/>
      <c r="J44" s="207"/>
      <c r="K44" s="207"/>
      <c r="L44" s="207"/>
      <c r="M44" s="207"/>
      <c r="N44" s="207"/>
      <c r="O44" s="209"/>
      <c r="P44" s="198"/>
      <c r="Q44" s="198"/>
      <c r="R44" s="198"/>
      <c r="S44" s="211"/>
    </row>
    <row r="45" spans="1:20" s="12" customFormat="1" x14ac:dyDescent="0.25">
      <c r="F45" s="210"/>
      <c r="G45" s="210"/>
      <c r="J45" s="207"/>
      <c r="K45" s="207"/>
      <c r="L45" s="207"/>
      <c r="M45" s="207"/>
      <c r="N45" s="207"/>
      <c r="O45" s="63"/>
      <c r="P45" s="63"/>
      <c r="Q45" s="63"/>
      <c r="R45" s="63"/>
      <c r="S45" s="63"/>
      <c r="T45" s="195"/>
    </row>
    <row r="46" spans="1:20" s="12" customFormat="1" x14ac:dyDescent="0.25">
      <c r="J46" s="207"/>
      <c r="K46" s="207"/>
      <c r="L46" s="207"/>
      <c r="M46" s="207"/>
      <c r="N46" s="207"/>
      <c r="O46" s="63"/>
      <c r="P46" s="63"/>
      <c r="Q46" s="63"/>
      <c r="R46" s="63"/>
      <c r="S46" s="63"/>
      <c r="T46" s="195"/>
    </row>
    <row r="47" spans="1:20" s="12" customFormat="1" x14ac:dyDescent="0.25">
      <c r="J47" s="207"/>
      <c r="K47" s="207"/>
      <c r="L47" s="207"/>
      <c r="M47" s="207"/>
      <c r="N47" s="207"/>
      <c r="O47" s="63"/>
      <c r="P47" s="63"/>
      <c r="Q47" s="63"/>
      <c r="R47" s="63"/>
      <c r="S47" s="63"/>
      <c r="T47" s="195"/>
    </row>
    <row r="48" spans="1:20" s="12" customFormat="1" x14ac:dyDescent="0.25">
      <c r="I48" s="212"/>
      <c r="J48" s="207"/>
      <c r="K48" s="207"/>
      <c r="L48" s="207"/>
      <c r="M48" s="213"/>
      <c r="T48" s="195"/>
    </row>
    <row r="49" spans="2:24" s="12" customFormat="1" x14ac:dyDescent="0.25">
      <c r="I49" s="212"/>
      <c r="J49" s="207"/>
      <c r="K49" s="207"/>
      <c r="L49" s="207"/>
      <c r="M49" s="213"/>
      <c r="T49" s="195"/>
    </row>
    <row r="50" spans="2:24" s="12" customFormat="1" x14ac:dyDescent="0.25">
      <c r="B50" s="207"/>
      <c r="C50" s="207"/>
      <c r="D50" s="207"/>
      <c r="E50" s="207"/>
      <c r="J50" s="207"/>
      <c r="K50" s="207"/>
      <c r="L50" s="207"/>
      <c r="M50" s="213"/>
      <c r="T50" s="206"/>
      <c r="U50" s="207"/>
      <c r="V50" s="207"/>
      <c r="W50" s="207"/>
      <c r="X50" s="207"/>
    </row>
    <row r="51" spans="2:24" s="12" customFormat="1" x14ac:dyDescent="0.25">
      <c r="J51" s="207"/>
      <c r="K51" s="207"/>
      <c r="L51" s="207"/>
      <c r="M51" s="213"/>
      <c r="T51" s="195"/>
      <c r="W51" s="207"/>
      <c r="X51" s="207"/>
    </row>
    <row r="52" spans="2:24" s="12" customFormat="1" x14ac:dyDescent="0.25">
      <c r="J52" s="207"/>
      <c r="K52" s="207"/>
      <c r="L52" s="207"/>
      <c r="M52" s="207"/>
      <c r="N52" s="207"/>
      <c r="T52" s="195"/>
      <c r="W52" s="206"/>
      <c r="X52" s="207"/>
    </row>
    <row r="53" spans="2:24" s="12" customFormat="1" x14ac:dyDescent="0.25">
      <c r="J53" s="207"/>
      <c r="K53" s="207"/>
      <c r="L53" s="207"/>
      <c r="M53" s="207"/>
      <c r="N53" s="207"/>
      <c r="W53" s="207"/>
      <c r="X53" s="207"/>
    </row>
    <row r="54" spans="2:24" s="12" customFormat="1" x14ac:dyDescent="0.25">
      <c r="J54" s="207"/>
      <c r="K54" s="207"/>
      <c r="L54" s="207"/>
      <c r="M54" s="207"/>
      <c r="N54" s="207"/>
      <c r="W54" s="206"/>
      <c r="X54" s="207"/>
    </row>
    <row r="55" spans="2:24" s="12" customFormat="1" x14ac:dyDescent="0.25">
      <c r="J55" s="207"/>
      <c r="K55" s="207"/>
      <c r="L55" s="207"/>
      <c r="M55" s="207"/>
      <c r="N55" s="207"/>
      <c r="W55" s="207"/>
      <c r="X55" s="207"/>
    </row>
    <row r="56" spans="2:24" s="12" customFormat="1" x14ac:dyDescent="0.25">
      <c r="J56" s="209"/>
      <c r="K56" s="209"/>
      <c r="L56" s="209"/>
      <c r="M56" s="209"/>
      <c r="N56" s="209"/>
      <c r="W56" s="206"/>
      <c r="X56" s="206"/>
    </row>
    <row r="57" spans="2:24" s="12" customFormat="1" x14ac:dyDescent="0.25">
      <c r="J57" s="209"/>
      <c r="K57" s="209"/>
      <c r="L57" s="209"/>
      <c r="M57" s="209"/>
      <c r="N57" s="209"/>
      <c r="W57" s="206"/>
      <c r="X57" s="206"/>
    </row>
    <row r="58" spans="2:24" s="12" customFormat="1" x14ac:dyDescent="0.25">
      <c r="J58" s="209"/>
      <c r="K58" s="209"/>
      <c r="L58" s="209"/>
      <c r="M58" s="209"/>
      <c r="N58" s="209"/>
      <c r="W58" s="206"/>
      <c r="X58" s="206"/>
    </row>
    <row r="59" spans="2:24" s="12" customFormat="1" x14ac:dyDescent="0.25">
      <c r="J59" s="209"/>
      <c r="K59" s="209"/>
      <c r="L59" s="209"/>
      <c r="M59" s="209"/>
      <c r="N59" s="209"/>
      <c r="W59" s="206"/>
      <c r="X59" s="207"/>
    </row>
    <row r="60" spans="2:24" s="12" customFormat="1" x14ac:dyDescent="0.25">
      <c r="J60" s="209"/>
      <c r="K60" s="209"/>
      <c r="L60" s="209"/>
      <c r="M60" s="209"/>
      <c r="N60" s="209"/>
      <c r="X60" s="207"/>
    </row>
    <row r="61" spans="2:24" s="12" customFormat="1" x14ac:dyDescent="0.25">
      <c r="J61" s="209"/>
      <c r="K61" s="209"/>
      <c r="L61" s="209"/>
      <c r="M61" s="209"/>
      <c r="N61" s="209"/>
      <c r="W61" s="206"/>
      <c r="X61" s="206"/>
    </row>
    <row r="62" spans="2:24" s="12" customFormat="1" x14ac:dyDescent="0.25">
      <c r="J62" s="209"/>
      <c r="K62" s="209"/>
      <c r="L62" s="209"/>
      <c r="M62" s="209"/>
      <c r="N62" s="209"/>
      <c r="W62" s="206"/>
      <c r="X62" s="207"/>
    </row>
    <row r="63" spans="2:24" s="12" customFormat="1" x14ac:dyDescent="0.25">
      <c r="J63" s="209"/>
      <c r="K63" s="209"/>
      <c r="L63" s="209"/>
      <c r="M63" s="209"/>
      <c r="N63" s="209"/>
      <c r="W63" s="206"/>
      <c r="X63" s="206"/>
    </row>
    <row r="64" spans="2:24" s="12" customFormat="1" x14ac:dyDescent="0.25">
      <c r="J64" s="209"/>
      <c r="K64" s="209"/>
      <c r="L64" s="209"/>
      <c r="M64" s="209"/>
      <c r="N64" s="209"/>
      <c r="W64" s="206"/>
      <c r="X64" s="206"/>
    </row>
    <row r="65" spans="2:24" s="12" customFormat="1" x14ac:dyDescent="0.25">
      <c r="J65" s="209"/>
      <c r="K65" s="209"/>
      <c r="L65" s="209"/>
      <c r="M65" s="209"/>
      <c r="N65" s="209"/>
      <c r="W65" s="206"/>
      <c r="X65" s="207"/>
    </row>
    <row r="66" spans="2:24" s="12" customFormat="1" x14ac:dyDescent="0.25">
      <c r="J66" s="209"/>
      <c r="K66" s="209"/>
      <c r="L66" s="209"/>
      <c r="M66" s="209"/>
      <c r="N66" s="209"/>
      <c r="W66" s="206"/>
      <c r="X66" s="207"/>
    </row>
    <row r="67" spans="2:24" s="12" customFormat="1" x14ac:dyDescent="0.25">
      <c r="W67" s="206"/>
      <c r="X67" s="206"/>
    </row>
    <row r="68" spans="2:24" s="12" customFormat="1" x14ac:dyDescent="0.25">
      <c r="W68" s="209"/>
      <c r="X68" s="209"/>
    </row>
    <row r="69" spans="2:24" s="12" customFormat="1" x14ac:dyDescent="0.25">
      <c r="B69" s="209"/>
      <c r="C69" s="209"/>
      <c r="D69" s="209"/>
      <c r="E69" s="214"/>
      <c r="T69" s="209"/>
      <c r="U69" s="209"/>
      <c r="V69" s="209"/>
      <c r="W69" s="209"/>
      <c r="X69" s="209"/>
    </row>
    <row r="70" spans="2:24" s="12" customFormat="1" x14ac:dyDescent="0.25">
      <c r="W70" s="209"/>
      <c r="X70" s="209"/>
    </row>
    <row r="71" spans="2:24" s="12" customFormat="1" x14ac:dyDescent="0.25">
      <c r="B71" s="206"/>
      <c r="C71" s="206"/>
      <c r="D71" s="206"/>
      <c r="E71" s="207"/>
      <c r="T71" s="209"/>
      <c r="U71" s="209"/>
      <c r="V71" s="209"/>
      <c r="W71" s="209"/>
      <c r="X71" s="209"/>
    </row>
  </sheetData>
  <mergeCells count="2">
    <mergeCell ref="A2:A3"/>
    <mergeCell ref="B2:S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2"/>
  <sheetViews>
    <sheetView workbookViewId="0">
      <selection activeCell="H17" sqref="H17"/>
    </sheetView>
  </sheetViews>
  <sheetFormatPr defaultRowHeight="15" x14ac:dyDescent="0.25"/>
  <cols>
    <col min="1" max="1" width="34.7109375" style="12" bestFit="1" customWidth="1"/>
    <col min="2" max="7" width="9.42578125" style="12" customWidth="1"/>
    <col min="8" max="16384" width="9.140625" style="12"/>
  </cols>
  <sheetData>
    <row r="1" spans="1:9" x14ac:dyDescent="0.25">
      <c r="A1" s="12" t="s">
        <v>362</v>
      </c>
    </row>
    <row r="2" spans="1:9" ht="15.75" thickBot="1" x14ac:dyDescent="0.3">
      <c r="G2" s="12" t="s">
        <v>317</v>
      </c>
    </row>
    <row r="3" spans="1:9" ht="15.75" thickBot="1" x14ac:dyDescent="0.3">
      <c r="A3" s="88"/>
      <c r="B3" s="89">
        <v>40695</v>
      </c>
      <c r="C3" s="60">
        <v>41061</v>
      </c>
      <c r="D3" s="60">
        <v>41426</v>
      </c>
      <c r="E3" s="60">
        <v>41791</v>
      </c>
      <c r="F3" s="60">
        <v>42156</v>
      </c>
      <c r="G3" s="60">
        <v>42522</v>
      </c>
      <c r="H3" s="60">
        <v>42887</v>
      </c>
      <c r="I3" s="61">
        <v>43252</v>
      </c>
    </row>
    <row r="4" spans="1:9" x14ac:dyDescent="0.25">
      <c r="A4" s="91" t="s">
        <v>76</v>
      </c>
      <c r="B4" s="102">
        <v>0</v>
      </c>
      <c r="C4" s="81">
        <v>800</v>
      </c>
      <c r="D4" s="81">
        <v>5053</v>
      </c>
      <c r="E4" s="81">
        <v>848</v>
      </c>
      <c r="F4" s="81">
        <v>42</v>
      </c>
      <c r="G4" s="81">
        <v>53</v>
      </c>
      <c r="H4" s="81">
        <v>197</v>
      </c>
      <c r="I4" s="82" t="s">
        <v>46</v>
      </c>
    </row>
    <row r="5" spans="1:9" x14ac:dyDescent="0.25">
      <c r="A5" s="85" t="s">
        <v>4</v>
      </c>
      <c r="B5" s="187" t="s">
        <v>46</v>
      </c>
      <c r="C5" s="188" t="s">
        <v>46</v>
      </c>
      <c r="D5" s="189">
        <v>2206</v>
      </c>
      <c r="E5" s="189">
        <v>710</v>
      </c>
      <c r="F5" s="189">
        <v>32</v>
      </c>
      <c r="G5" s="189">
        <v>53</v>
      </c>
      <c r="H5" s="189">
        <v>166</v>
      </c>
      <c r="I5" s="190" t="s">
        <v>46</v>
      </c>
    </row>
    <row r="6" spans="1:9" x14ac:dyDescent="0.25">
      <c r="A6" s="85" t="s">
        <v>3</v>
      </c>
      <c r="B6" s="187" t="s">
        <v>46</v>
      </c>
      <c r="C6" s="188" t="s">
        <v>46</v>
      </c>
      <c r="D6" s="189">
        <v>2847</v>
      </c>
      <c r="E6" s="188">
        <v>138</v>
      </c>
      <c r="F6" s="189">
        <v>10</v>
      </c>
      <c r="G6" s="188" t="s">
        <v>46</v>
      </c>
      <c r="H6" s="189">
        <v>31</v>
      </c>
      <c r="I6" s="190" t="s">
        <v>46</v>
      </c>
    </row>
    <row r="7" spans="1:9" x14ac:dyDescent="0.25">
      <c r="A7" s="84" t="s">
        <v>268</v>
      </c>
      <c r="B7" s="103">
        <v>175938</v>
      </c>
      <c r="C7" s="43">
        <v>175938</v>
      </c>
      <c r="D7" s="43">
        <v>0</v>
      </c>
      <c r="E7" s="43">
        <v>0</v>
      </c>
      <c r="F7" s="43">
        <v>0</v>
      </c>
      <c r="G7" s="43" t="s">
        <v>46</v>
      </c>
      <c r="H7" s="43" t="s">
        <v>46</v>
      </c>
      <c r="I7" s="78" t="s">
        <v>46</v>
      </c>
    </row>
    <row r="8" spans="1:9" x14ac:dyDescent="0.25">
      <c r="A8" s="85" t="s">
        <v>269</v>
      </c>
      <c r="B8" s="191">
        <v>426961</v>
      </c>
      <c r="C8" s="189">
        <v>426961</v>
      </c>
      <c r="D8" s="189">
        <v>426961</v>
      </c>
      <c r="E8" s="189">
        <v>426961</v>
      </c>
      <c r="F8" s="188" t="s">
        <v>46</v>
      </c>
      <c r="G8" s="188" t="s">
        <v>46</v>
      </c>
      <c r="H8" s="188" t="s">
        <v>46</v>
      </c>
      <c r="I8" s="190" t="s">
        <v>46</v>
      </c>
    </row>
    <row r="9" spans="1:9" x14ac:dyDescent="0.25">
      <c r="A9" s="85" t="s">
        <v>270</v>
      </c>
      <c r="B9" s="187">
        <v>-251023</v>
      </c>
      <c r="C9" s="188">
        <v>-251023</v>
      </c>
      <c r="D9" s="188">
        <v>-426961</v>
      </c>
      <c r="E9" s="188">
        <v>-426961</v>
      </c>
      <c r="F9" s="188" t="s">
        <v>46</v>
      </c>
      <c r="G9" s="188" t="s">
        <v>46</v>
      </c>
      <c r="H9" s="188" t="s">
        <v>46</v>
      </c>
      <c r="I9" s="190" t="s">
        <v>46</v>
      </c>
    </row>
    <row r="10" spans="1:9" x14ac:dyDescent="0.25">
      <c r="A10" s="84" t="s">
        <v>268</v>
      </c>
      <c r="B10" s="104" t="s">
        <v>46</v>
      </c>
      <c r="C10" s="43">
        <v>6487</v>
      </c>
      <c r="D10" s="47" t="s">
        <v>46</v>
      </c>
      <c r="E10" s="47" t="s">
        <v>46</v>
      </c>
      <c r="F10" s="47" t="s">
        <v>46</v>
      </c>
      <c r="G10" s="43" t="s">
        <v>46</v>
      </c>
      <c r="H10" s="43" t="s">
        <v>46</v>
      </c>
      <c r="I10" s="78" t="s">
        <v>46</v>
      </c>
    </row>
    <row r="11" spans="1:9" x14ac:dyDescent="0.25">
      <c r="A11" s="84" t="s">
        <v>318</v>
      </c>
      <c r="B11" s="192">
        <v>30359</v>
      </c>
      <c r="C11" s="20">
        <v>19890</v>
      </c>
      <c r="D11" s="20">
        <v>580997</v>
      </c>
      <c r="E11" s="20">
        <v>31260</v>
      </c>
      <c r="F11" s="20">
        <v>6579</v>
      </c>
      <c r="G11" s="20">
        <v>4546</v>
      </c>
      <c r="H11" s="20">
        <v>7144</v>
      </c>
      <c r="I11" s="193">
        <v>639</v>
      </c>
    </row>
    <row r="12" spans="1:9" ht="15.75" thickBot="1" x14ac:dyDescent="0.3">
      <c r="A12" s="95" t="s">
        <v>8</v>
      </c>
      <c r="B12" s="105">
        <f>SUM(B4,B7,B10,B11)</f>
        <v>206297</v>
      </c>
      <c r="C12" s="79">
        <f t="shared" ref="C12:G12" si="0">SUM(C4,C7,C10,C11)</f>
        <v>203115</v>
      </c>
      <c r="D12" s="79">
        <f>SUM(D4,D7,D10,D11)</f>
        <v>586050</v>
      </c>
      <c r="E12" s="79">
        <f t="shared" si="0"/>
        <v>32108</v>
      </c>
      <c r="F12" s="79">
        <f t="shared" si="0"/>
        <v>6621</v>
      </c>
      <c r="G12" s="79">
        <f t="shared" si="0"/>
        <v>4599</v>
      </c>
      <c r="H12" s="79">
        <f>SUM(H4,H7,H10,H11)</f>
        <v>7341</v>
      </c>
      <c r="I12" s="80">
        <f>SUM(I4,I7,I10,I11)</f>
        <v>639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1" topLeftCell="B1" activePane="topRight" state="frozen"/>
      <selection pane="topRight" activeCell="E25" sqref="E25"/>
    </sheetView>
  </sheetViews>
  <sheetFormatPr defaultRowHeight="15" x14ac:dyDescent="0.25"/>
  <cols>
    <col min="1" max="1" width="25.5703125" style="12" bestFit="1" customWidth="1"/>
    <col min="2" max="14" width="13.28515625" style="12" bestFit="1" customWidth="1"/>
    <col min="15" max="19" width="16.85546875" style="12" bestFit="1" customWidth="1"/>
    <col min="20" max="16384" width="9.140625" style="12"/>
  </cols>
  <sheetData>
    <row r="1" spans="1:19" s="12" customFormat="1" ht="15.75" thickBot="1" x14ac:dyDescent="0.3"/>
    <row r="2" spans="1:19" s="12" customFormat="1" ht="15.75" thickBot="1" x14ac:dyDescent="0.3">
      <c r="A2" s="179" t="s">
        <v>338</v>
      </c>
      <c r="B2" s="186" t="s">
        <v>360</v>
      </c>
      <c r="C2" s="76" t="s">
        <v>359</v>
      </c>
      <c r="D2" s="76" t="s">
        <v>357</v>
      </c>
      <c r="E2" s="76" t="s">
        <v>358</v>
      </c>
      <c r="F2" s="76" t="s">
        <v>356</v>
      </c>
      <c r="G2" s="76" t="s">
        <v>355</v>
      </c>
      <c r="H2" s="76" t="s">
        <v>351</v>
      </c>
      <c r="I2" s="76" t="s">
        <v>329</v>
      </c>
      <c r="J2" s="76" t="s">
        <v>328</v>
      </c>
      <c r="K2" s="76" t="s">
        <v>327</v>
      </c>
      <c r="L2" s="76" t="s">
        <v>326</v>
      </c>
      <c r="M2" s="76" t="s">
        <v>325</v>
      </c>
      <c r="N2" s="76" t="s">
        <v>324</v>
      </c>
      <c r="O2" s="76" t="s">
        <v>323</v>
      </c>
      <c r="P2" s="76" t="s">
        <v>322</v>
      </c>
      <c r="Q2" s="76" t="s">
        <v>321</v>
      </c>
      <c r="R2" s="76" t="s">
        <v>320</v>
      </c>
      <c r="S2" s="77" t="s">
        <v>401</v>
      </c>
    </row>
    <row r="3" spans="1:19" s="12" customFormat="1" x14ac:dyDescent="0.25">
      <c r="A3" s="83" t="s">
        <v>350</v>
      </c>
      <c r="B3" s="126"/>
      <c r="C3" s="127"/>
      <c r="D3" s="127"/>
      <c r="E3" s="127"/>
      <c r="F3" s="127"/>
      <c r="G3" s="127"/>
      <c r="H3" s="127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185"/>
    </row>
    <row r="4" spans="1:19" s="12" customFormat="1" x14ac:dyDescent="0.25">
      <c r="A4" s="85" t="s">
        <v>331</v>
      </c>
      <c r="B4" s="114">
        <v>40480638</v>
      </c>
      <c r="C4" s="115">
        <v>39953524</v>
      </c>
      <c r="D4" s="115">
        <v>39074840</v>
      </c>
      <c r="E4" s="115">
        <v>38323073</v>
      </c>
      <c r="F4" s="115">
        <v>37567297</v>
      </c>
      <c r="G4" s="115">
        <v>36934612</v>
      </c>
      <c r="H4" s="115">
        <v>36273777</v>
      </c>
      <c r="I4" s="115">
        <v>35589683</v>
      </c>
      <c r="J4" s="115">
        <v>34849029</v>
      </c>
      <c r="K4" s="115">
        <v>34156072</v>
      </c>
      <c r="L4" s="115">
        <v>33467810</v>
      </c>
      <c r="M4" s="115">
        <v>32765975</v>
      </c>
      <c r="N4" s="115">
        <v>31999225</v>
      </c>
      <c r="O4" s="115">
        <v>31352366</v>
      </c>
      <c r="P4" s="115">
        <v>30615213</v>
      </c>
      <c r="Q4" s="115">
        <v>29596922</v>
      </c>
      <c r="R4" s="115">
        <v>28659225</v>
      </c>
      <c r="S4" s="116">
        <v>23770951</v>
      </c>
    </row>
    <row r="5" spans="1:19" s="12" customFormat="1" x14ac:dyDescent="0.25">
      <c r="A5" s="85" t="s">
        <v>334</v>
      </c>
      <c r="B5" s="181" t="s">
        <v>344</v>
      </c>
      <c r="C5" s="172" t="s">
        <v>344</v>
      </c>
      <c r="D5" s="172" t="s">
        <v>344</v>
      </c>
      <c r="E5" s="172" t="s">
        <v>344</v>
      </c>
      <c r="F5" s="172" t="s">
        <v>344</v>
      </c>
      <c r="G5" s="172" t="s">
        <v>344</v>
      </c>
      <c r="H5" s="172" t="s">
        <v>344</v>
      </c>
      <c r="I5" s="172" t="s">
        <v>344</v>
      </c>
      <c r="J5" s="172" t="s">
        <v>344</v>
      </c>
      <c r="K5" s="172" t="s">
        <v>344</v>
      </c>
      <c r="L5" s="172" t="s">
        <v>344</v>
      </c>
      <c r="M5" s="172" t="s">
        <v>344</v>
      </c>
      <c r="N5" s="172" t="s">
        <v>344</v>
      </c>
      <c r="O5" s="171">
        <f t="shared" ref="O5" si="0">O4*O6</f>
        <v>33923260012</v>
      </c>
      <c r="P5" s="171">
        <f>P4*P6</f>
        <v>34748266755</v>
      </c>
      <c r="Q5" s="130">
        <f>Q4*Q6</f>
        <v>35131546414</v>
      </c>
      <c r="R5" s="130">
        <f>R4*R6</f>
        <v>36167941950</v>
      </c>
      <c r="S5" s="131">
        <f>S4*S6</f>
        <v>32150211227.5</v>
      </c>
    </row>
    <row r="6" spans="1:19" s="12" customFormat="1" x14ac:dyDescent="0.25">
      <c r="A6" s="85" t="s">
        <v>339</v>
      </c>
      <c r="B6" s="181" t="s">
        <v>344</v>
      </c>
      <c r="C6" s="172" t="s">
        <v>344</v>
      </c>
      <c r="D6" s="172" t="s">
        <v>344</v>
      </c>
      <c r="E6" s="172" t="s">
        <v>344</v>
      </c>
      <c r="F6" s="172" t="s">
        <v>344</v>
      </c>
      <c r="G6" s="172" t="s">
        <v>344</v>
      </c>
      <c r="H6" s="172" t="s">
        <v>344</v>
      </c>
      <c r="I6" s="172" t="s">
        <v>344</v>
      </c>
      <c r="J6" s="172" t="s">
        <v>344</v>
      </c>
      <c r="K6" s="172" t="s">
        <v>344</v>
      </c>
      <c r="L6" s="172" t="s">
        <v>344</v>
      </c>
      <c r="M6" s="172" t="s">
        <v>344</v>
      </c>
      <c r="N6" s="172" t="s">
        <v>344</v>
      </c>
      <c r="O6" s="171">
        <v>1082</v>
      </c>
      <c r="P6" s="171">
        <v>1135</v>
      </c>
      <c r="Q6" s="130">
        <v>1187</v>
      </c>
      <c r="R6" s="130">
        <v>1262</v>
      </c>
      <c r="S6" s="131">
        <v>1352.5</v>
      </c>
    </row>
    <row r="7" spans="1:19" s="12" customFormat="1" x14ac:dyDescent="0.25">
      <c r="A7" s="86" t="s">
        <v>99</v>
      </c>
      <c r="B7" s="18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80"/>
    </row>
    <row r="8" spans="1:19" s="12" customFormat="1" x14ac:dyDescent="0.25">
      <c r="A8" s="84" t="s">
        <v>335</v>
      </c>
      <c r="B8" s="18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216"/>
    </row>
    <row r="9" spans="1:19" s="12" customFormat="1" x14ac:dyDescent="0.25">
      <c r="A9" s="85" t="s">
        <v>319</v>
      </c>
      <c r="B9" s="114">
        <v>543094</v>
      </c>
      <c r="C9" s="115">
        <v>547499</v>
      </c>
      <c r="D9" s="115">
        <v>798231</v>
      </c>
      <c r="E9" s="115">
        <v>757735</v>
      </c>
      <c r="F9" s="115">
        <v>759958</v>
      </c>
      <c r="G9" s="115">
        <v>686938</v>
      </c>
      <c r="H9" s="115">
        <v>677756</v>
      </c>
      <c r="I9" s="175">
        <v>734187</v>
      </c>
      <c r="J9" s="175">
        <v>757651</v>
      </c>
      <c r="K9" s="175">
        <v>720523</v>
      </c>
      <c r="L9" s="175">
        <v>711637</v>
      </c>
      <c r="M9" s="175">
        <v>725016</v>
      </c>
      <c r="N9" s="175">
        <v>721579</v>
      </c>
      <c r="O9" s="175">
        <v>713297</v>
      </c>
      <c r="P9" s="175">
        <v>753635</v>
      </c>
      <c r="Q9" s="174">
        <v>1032709</v>
      </c>
      <c r="R9" s="174">
        <v>928143</v>
      </c>
      <c r="S9" s="183">
        <v>4957581</v>
      </c>
    </row>
    <row r="10" spans="1:19" s="12" customFormat="1" x14ac:dyDescent="0.25">
      <c r="A10" s="85" t="s">
        <v>336</v>
      </c>
      <c r="B10" s="129">
        <v>396090</v>
      </c>
      <c r="C10" s="130">
        <v>433010</v>
      </c>
      <c r="D10" s="130">
        <v>617276</v>
      </c>
      <c r="E10" s="130">
        <v>665607</v>
      </c>
      <c r="F10" s="130">
        <v>686885</v>
      </c>
      <c r="G10" s="130">
        <v>641094</v>
      </c>
      <c r="H10" s="130">
        <v>686259</v>
      </c>
      <c r="I10" s="176">
        <v>803729</v>
      </c>
      <c r="J10" s="176">
        <v>870054</v>
      </c>
      <c r="K10" s="176">
        <v>842368</v>
      </c>
      <c r="L10" s="176">
        <v>852722</v>
      </c>
      <c r="M10" s="176">
        <v>881348</v>
      </c>
      <c r="N10" s="176">
        <v>882403</v>
      </c>
      <c r="O10" s="176">
        <v>875802</v>
      </c>
      <c r="P10" s="176">
        <v>936236</v>
      </c>
      <c r="Q10" s="130">
        <v>1338633</v>
      </c>
      <c r="R10" s="130">
        <v>1250257</v>
      </c>
      <c r="S10" s="131">
        <v>6810330</v>
      </c>
    </row>
    <row r="11" spans="1:19" s="12" customFormat="1" x14ac:dyDescent="0.25">
      <c r="A11" s="84" t="s">
        <v>95</v>
      </c>
      <c r="B11" s="18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16"/>
    </row>
    <row r="12" spans="1:19" s="12" customFormat="1" x14ac:dyDescent="0.25">
      <c r="A12" s="85" t="s">
        <v>319</v>
      </c>
      <c r="B12" s="114">
        <v>18849040</v>
      </c>
      <c r="C12" s="115">
        <v>19475406</v>
      </c>
      <c r="D12" s="115">
        <v>20527737</v>
      </c>
      <c r="E12" s="115">
        <v>20006830</v>
      </c>
      <c r="F12" s="115">
        <v>18866674</v>
      </c>
      <c r="G12" s="115">
        <v>18684528</v>
      </c>
      <c r="H12" s="115">
        <v>18715695</v>
      </c>
      <c r="I12" s="177">
        <v>18598925</v>
      </c>
      <c r="J12" s="177">
        <v>18434757</v>
      </c>
      <c r="K12" s="115">
        <v>18161776</v>
      </c>
      <c r="L12" s="115">
        <v>17484929</v>
      </c>
      <c r="M12" s="115">
        <v>16657984</v>
      </c>
      <c r="N12" s="115">
        <v>16994022</v>
      </c>
      <c r="O12" s="115">
        <v>15919149</v>
      </c>
      <c r="P12" s="115">
        <v>14579341</v>
      </c>
      <c r="Q12" s="115">
        <v>13280236</v>
      </c>
      <c r="R12" s="115">
        <v>12960552</v>
      </c>
      <c r="S12" s="116">
        <v>10618949</v>
      </c>
    </row>
    <row r="13" spans="1:19" s="12" customFormat="1" x14ac:dyDescent="0.25">
      <c r="A13" s="85" t="s">
        <v>336</v>
      </c>
      <c r="B13" s="129">
        <v>540814</v>
      </c>
      <c r="C13" s="130">
        <v>603456</v>
      </c>
      <c r="D13" s="130">
        <v>663841</v>
      </c>
      <c r="E13" s="130">
        <v>712291</v>
      </c>
      <c r="F13" s="130">
        <v>355680</v>
      </c>
      <c r="G13" s="130">
        <v>724550</v>
      </c>
      <c r="H13" s="130">
        <v>758566</v>
      </c>
      <c r="I13" s="176">
        <v>784728</v>
      </c>
      <c r="J13" s="176">
        <v>807965</v>
      </c>
      <c r="K13" s="130">
        <v>826986</v>
      </c>
      <c r="L13" s="130">
        <v>818251</v>
      </c>
      <c r="M13" s="130">
        <v>801472</v>
      </c>
      <c r="N13" s="130">
        <v>810570</v>
      </c>
      <c r="O13" s="130">
        <v>680231</v>
      </c>
      <c r="P13" s="130">
        <v>611829</v>
      </c>
      <c r="Q13" s="130">
        <v>614941</v>
      </c>
      <c r="R13" s="130">
        <v>682559</v>
      </c>
      <c r="S13" s="131">
        <v>542361</v>
      </c>
    </row>
    <row r="14" spans="1:19" s="12" customFormat="1" ht="15.75" thickBot="1" x14ac:dyDescent="0.3">
      <c r="A14" s="95" t="s">
        <v>337</v>
      </c>
      <c r="B14" s="138">
        <v>936904</v>
      </c>
      <c r="C14" s="139">
        <v>1036466</v>
      </c>
      <c r="D14" s="139">
        <v>1281117</v>
      </c>
      <c r="E14" s="139">
        <v>1377898</v>
      </c>
      <c r="F14" s="139">
        <v>1042565</v>
      </c>
      <c r="G14" s="139">
        <v>1365644</v>
      </c>
      <c r="H14" s="139">
        <v>1444825</v>
      </c>
      <c r="I14" s="178">
        <f>SUM(I13,I10)</f>
        <v>1588457</v>
      </c>
      <c r="J14" s="178">
        <f t="shared" ref="J14" si="1">SUM(J13,J10)</f>
        <v>1678019</v>
      </c>
      <c r="K14" s="178">
        <f>SUM(K13,K10)</f>
        <v>1669354</v>
      </c>
      <c r="L14" s="178">
        <f t="shared" ref="L14" si="2">SUM(L13,L10)</f>
        <v>1670973</v>
      </c>
      <c r="M14" s="178">
        <f t="shared" ref="M14" si="3">SUM(M13,M10)</f>
        <v>1682820</v>
      </c>
      <c r="N14" s="178">
        <f>SUM(N13,N10)</f>
        <v>1692973</v>
      </c>
      <c r="O14" s="178">
        <f>SUM(O13,O10)</f>
        <v>1556033</v>
      </c>
      <c r="P14" s="178">
        <f>SUM(P13,P10)</f>
        <v>1548065</v>
      </c>
      <c r="Q14" s="178">
        <f t="shared" ref="Q14" si="4">SUM(Q13,Q10)</f>
        <v>1953574</v>
      </c>
      <c r="R14" s="178">
        <f>SUM(R13,R10)</f>
        <v>1932816</v>
      </c>
      <c r="S14" s="184">
        <f>SUM(S13,S10)</f>
        <v>7352691</v>
      </c>
    </row>
    <row r="17" spans="8:15" s="12" customFormat="1" ht="15" customHeight="1" x14ac:dyDescent="0.25">
      <c r="K17" s="213"/>
    </row>
    <row r="18" spans="8:15" s="12" customFormat="1" ht="15" customHeight="1" x14ac:dyDescent="0.25">
      <c r="K18" s="213"/>
      <c r="L18" s="213"/>
    </row>
    <row r="19" spans="8:15" s="12" customFormat="1" x14ac:dyDescent="0.25">
      <c r="L19" s="213"/>
      <c r="M19" s="217"/>
      <c r="N19" s="217"/>
      <c r="O19" s="217"/>
    </row>
    <row r="20" spans="8:15" s="12" customFormat="1" x14ac:dyDescent="0.25">
      <c r="L20" s="218"/>
    </row>
    <row r="21" spans="8:15" s="12" customFormat="1" x14ac:dyDescent="0.25">
      <c r="L21" s="213"/>
    </row>
    <row r="22" spans="8:15" s="12" customFormat="1" ht="15" customHeight="1" x14ac:dyDescent="0.25">
      <c r="H22" s="213"/>
      <c r="K22" s="212"/>
      <c r="L22" s="213"/>
      <c r="M22" s="217"/>
      <c r="N22" s="217"/>
    </row>
    <row r="23" spans="8:15" s="12" customFormat="1" ht="15" customHeight="1" x14ac:dyDescent="0.25">
      <c r="H23" s="213"/>
      <c r="I23" s="219"/>
      <c r="J23" s="219"/>
      <c r="K23" s="212"/>
      <c r="L23" s="219"/>
      <c r="M23" s="21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3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8" sqref="M8"/>
    </sheetView>
  </sheetViews>
  <sheetFormatPr defaultRowHeight="15" x14ac:dyDescent="0.25"/>
  <cols>
    <col min="1" max="1" width="57.7109375" style="12" bestFit="1" customWidth="1"/>
    <col min="2" max="9" width="13.28515625" style="12" customWidth="1"/>
    <col min="10" max="16384" width="9.140625" style="12"/>
  </cols>
  <sheetData>
    <row r="1" spans="1:16" ht="15.75" thickBot="1" x14ac:dyDescent="0.3">
      <c r="G1" s="12" t="s">
        <v>10</v>
      </c>
    </row>
    <row r="2" spans="1:16" ht="15.75" thickBot="1" x14ac:dyDescent="0.3">
      <c r="A2" s="88"/>
      <c r="B2" s="89">
        <v>40695</v>
      </c>
      <c r="C2" s="60">
        <v>41061</v>
      </c>
      <c r="D2" s="60">
        <v>41426</v>
      </c>
      <c r="E2" s="60">
        <v>41791</v>
      </c>
      <c r="F2" s="60">
        <v>42156</v>
      </c>
      <c r="G2" s="60">
        <v>42522</v>
      </c>
      <c r="H2" s="60">
        <v>42887</v>
      </c>
      <c r="I2" s="61">
        <v>43252</v>
      </c>
      <c r="J2" s="194"/>
      <c r="K2" s="194"/>
      <c r="L2" s="194"/>
      <c r="M2" s="194"/>
    </row>
    <row r="3" spans="1:16" x14ac:dyDescent="0.25">
      <c r="A3" s="83" t="s">
        <v>139</v>
      </c>
      <c r="B3" s="96">
        <f t="shared" ref="B3:G3" si="0">SUM(B4,B8,B13,B16)</f>
        <v>2603.9320000000002</v>
      </c>
      <c r="C3" s="32">
        <f t="shared" si="0"/>
        <v>2442.15</v>
      </c>
      <c r="D3" s="32">
        <f t="shared" si="0"/>
        <v>2540.1600000000003</v>
      </c>
      <c r="E3" s="32">
        <f t="shared" si="0"/>
        <v>2556.1370000000002</v>
      </c>
      <c r="F3" s="32">
        <f t="shared" si="0"/>
        <v>2119.1499999999992</v>
      </c>
      <c r="G3" s="32">
        <f t="shared" si="0"/>
        <v>2920.7270000000003</v>
      </c>
      <c r="H3" s="32">
        <f>SUM(H4,H8,H13,H16)</f>
        <v>3149.6709999999998</v>
      </c>
      <c r="I3" s="55">
        <f>SUM(I4,I8,I13,I16)</f>
        <v>2594.1709999999998</v>
      </c>
      <c r="J3" s="3"/>
      <c r="K3" s="195"/>
      <c r="L3" s="195"/>
      <c r="M3" s="195"/>
    </row>
    <row r="4" spans="1:16" x14ac:dyDescent="0.25">
      <c r="A4" s="84" t="s">
        <v>140</v>
      </c>
      <c r="B4" s="97">
        <f t="shared" ref="B4:G4" si="1">SUM(B5:B7)</f>
        <v>2158.4290000000001</v>
      </c>
      <c r="C4" s="41">
        <f t="shared" si="1"/>
        <v>2198.8760000000002</v>
      </c>
      <c r="D4" s="41">
        <f t="shared" si="1"/>
        <v>1909.9670000000001</v>
      </c>
      <c r="E4" s="41">
        <f t="shared" si="1"/>
        <v>1905.6869999999999</v>
      </c>
      <c r="F4" s="41">
        <f t="shared" si="1"/>
        <v>2121.6859999999997</v>
      </c>
      <c r="G4" s="41">
        <f t="shared" si="1"/>
        <v>2928.5770000000002</v>
      </c>
      <c r="H4" s="41">
        <f>SUM(H5:H7)</f>
        <v>3111.8829999999998</v>
      </c>
      <c r="I4" s="56">
        <f>SUM(I5:I7)</f>
        <v>2576.0100000000002</v>
      </c>
      <c r="K4" s="195"/>
      <c r="L4" s="195"/>
      <c r="M4" s="195"/>
    </row>
    <row r="5" spans="1:16" x14ac:dyDescent="0.25">
      <c r="A5" s="85" t="s">
        <v>141</v>
      </c>
      <c r="B5" s="90">
        <f>'7'!D41/1000</f>
        <v>1970.8610000000001</v>
      </c>
      <c r="C5" s="53">
        <f>'7'!E41/1000</f>
        <v>2013.066</v>
      </c>
      <c r="D5" s="53">
        <f>'7'!F41/1000</f>
        <v>1795.7760000000001</v>
      </c>
      <c r="E5" s="53">
        <f>'7'!G41/1000</f>
        <v>1776.9849999999999</v>
      </c>
      <c r="F5" s="53">
        <f>'7'!H41/1000</f>
        <v>1934.7929999999999</v>
      </c>
      <c r="G5" s="53">
        <f>'7'!I41/1000</f>
        <v>2619.4050000000002</v>
      </c>
      <c r="H5" s="53">
        <f>'7'!J41/1000</f>
        <v>2444.4110000000001</v>
      </c>
      <c r="I5" s="57">
        <f>1895756/1000</f>
        <v>1895.7560000000001</v>
      </c>
      <c r="K5" s="195"/>
      <c r="L5" s="195"/>
      <c r="M5" s="195"/>
    </row>
    <row r="6" spans="1:16" x14ac:dyDescent="0.25">
      <c r="A6" s="85" t="s">
        <v>303</v>
      </c>
      <c r="B6" s="90">
        <f>5733/1000</f>
        <v>5.7329999999999997</v>
      </c>
      <c r="C6" s="53" t="s">
        <v>46</v>
      </c>
      <c r="D6" s="53" t="s">
        <v>46</v>
      </c>
      <c r="E6" s="53" t="s">
        <v>46</v>
      </c>
      <c r="F6" s="53" t="s">
        <v>46</v>
      </c>
      <c r="G6" s="53" t="s">
        <v>46</v>
      </c>
      <c r="H6" s="53" t="s">
        <v>46</v>
      </c>
      <c r="I6" s="57" t="s">
        <v>46</v>
      </c>
      <c r="K6" s="195"/>
      <c r="L6" s="195"/>
      <c r="M6" s="195"/>
    </row>
    <row r="7" spans="1:16" x14ac:dyDescent="0.25">
      <c r="A7" s="85" t="s">
        <v>142</v>
      </c>
      <c r="B7" s="90">
        <f>'4'!B26/1000</f>
        <v>181.83500000000001</v>
      </c>
      <c r="C7" s="53">
        <f>'4'!C26/1000</f>
        <v>185.81</v>
      </c>
      <c r="D7" s="53">
        <f>'4'!D26/1000</f>
        <v>114.191</v>
      </c>
      <c r="E7" s="53">
        <f>'4'!E26/1000</f>
        <v>128.702</v>
      </c>
      <c r="F7" s="53">
        <f>'4'!F26/1000</f>
        <v>186.893</v>
      </c>
      <c r="G7" s="53">
        <f>'4'!G26/1000</f>
        <v>309.17200000000003</v>
      </c>
      <c r="H7" s="53">
        <f>'4'!H26/1000</f>
        <v>667.47199999999998</v>
      </c>
      <c r="I7" s="57">
        <f>680254/1000</f>
        <v>680.25400000000002</v>
      </c>
      <c r="J7" s="3"/>
      <c r="K7" s="195"/>
      <c r="L7" s="195"/>
      <c r="M7" s="195"/>
    </row>
    <row r="8" spans="1:16" x14ac:dyDescent="0.25">
      <c r="A8" s="84" t="s">
        <v>143</v>
      </c>
      <c r="B8" s="97">
        <f>SUM(B9:B12)</f>
        <v>415.07000000000005</v>
      </c>
      <c r="C8" s="41">
        <f t="shared" ref="C8:H8" si="2">SUM(C9:C12)</f>
        <v>222.16800000000001</v>
      </c>
      <c r="D8" s="41">
        <f t="shared" si="2"/>
        <v>48.276000000000003</v>
      </c>
      <c r="E8" s="41">
        <f t="shared" si="2"/>
        <v>619.17499999999995</v>
      </c>
      <c r="F8" s="41">
        <f t="shared" si="2"/>
        <v>3.7850000000000001</v>
      </c>
      <c r="G8" s="41">
        <f t="shared" si="2"/>
        <v>3.8860000000000001</v>
      </c>
      <c r="H8" s="41">
        <f t="shared" si="2"/>
        <v>18.654</v>
      </c>
      <c r="I8" s="56"/>
      <c r="K8" s="195"/>
      <c r="L8" s="195"/>
      <c r="M8" s="195"/>
    </row>
    <row r="9" spans="1:16" x14ac:dyDescent="0.25">
      <c r="A9" s="85" t="s">
        <v>144</v>
      </c>
      <c r="B9" s="90">
        <f>'6'!B72/1000</f>
        <v>0.34599999999999997</v>
      </c>
      <c r="C9" s="53">
        <f>'6'!C72/1000</f>
        <v>0.27100000000000002</v>
      </c>
      <c r="D9" s="53">
        <f>'6'!D72/1000</f>
        <v>0.245</v>
      </c>
      <c r="E9" s="53">
        <f>'6'!E72/1000</f>
        <v>0.32400000000000001</v>
      </c>
      <c r="F9" s="53">
        <f>'6'!F72/1000</f>
        <v>0.45400000000000001</v>
      </c>
      <c r="G9" s="53">
        <f>'6'!G72/1000</f>
        <v>0.621</v>
      </c>
      <c r="H9" s="53">
        <f>'6'!H72/1000</f>
        <v>13.887</v>
      </c>
      <c r="I9" s="57">
        <f>35104/1000</f>
        <v>35.103999999999999</v>
      </c>
      <c r="J9" s="3"/>
      <c r="K9" s="195"/>
      <c r="L9" s="195"/>
      <c r="M9" s="195"/>
      <c r="N9" s="196"/>
    </row>
    <row r="10" spans="1:16" x14ac:dyDescent="0.25">
      <c r="A10" s="85" t="s">
        <v>145</v>
      </c>
      <c r="B10" s="90">
        <f>'6'!B73/1000</f>
        <v>364.11</v>
      </c>
      <c r="C10" s="53">
        <f>'6'!C73/1000</f>
        <v>164.191</v>
      </c>
      <c r="D10" s="53">
        <f>'6'!D73/1000</f>
        <v>0.13800000000000001</v>
      </c>
      <c r="E10" s="53">
        <f>'6'!E73/1000</f>
        <v>602.89099999999996</v>
      </c>
      <c r="F10" s="53">
        <f>'6'!F73/1000</f>
        <v>1.7609999999999999</v>
      </c>
      <c r="G10" s="53">
        <f>'6'!G73/1000</f>
        <v>2.9620000000000002</v>
      </c>
      <c r="H10" s="53">
        <f>'6'!H73/1000</f>
        <v>2.5049999999999999</v>
      </c>
      <c r="I10" s="57">
        <f>3052/1000</f>
        <v>3.052</v>
      </c>
      <c r="J10" s="3"/>
      <c r="K10" s="195"/>
      <c r="L10" s="195"/>
      <c r="M10" s="195"/>
      <c r="N10" s="196"/>
    </row>
    <row r="11" spans="1:16" x14ac:dyDescent="0.25">
      <c r="A11" s="85" t="s">
        <v>146</v>
      </c>
      <c r="B11" s="90">
        <f>'6'!B74/1000</f>
        <v>40.728000000000002</v>
      </c>
      <c r="C11" s="53">
        <f>'6'!C74/1000</f>
        <v>57.706000000000003</v>
      </c>
      <c r="D11" s="53">
        <f>'6'!D74/1000</f>
        <v>47.893000000000001</v>
      </c>
      <c r="E11" s="53">
        <f>'6'!E74/1000</f>
        <v>15.96</v>
      </c>
      <c r="F11" s="53">
        <f>'6'!F74/1000</f>
        <v>1.57</v>
      </c>
      <c r="G11" s="53">
        <f>'6'!G74/1000</f>
        <v>0.30299999999999999</v>
      </c>
      <c r="H11" s="53">
        <f>'6'!H74/1000</f>
        <v>2.262</v>
      </c>
      <c r="I11" s="57">
        <f>644/1000</f>
        <v>0.64400000000000002</v>
      </c>
      <c r="J11" s="3"/>
      <c r="K11" s="195"/>
      <c r="L11" s="195"/>
      <c r="M11" s="195"/>
      <c r="N11" s="196"/>
    </row>
    <row r="12" spans="1:16" x14ac:dyDescent="0.25">
      <c r="A12" s="85" t="s">
        <v>304</v>
      </c>
      <c r="B12" s="90">
        <f>9886/1000</f>
        <v>9.8859999999999992</v>
      </c>
      <c r="C12" s="53" t="s">
        <v>46</v>
      </c>
      <c r="D12" s="53" t="s">
        <v>46</v>
      </c>
      <c r="E12" s="53" t="s">
        <v>46</v>
      </c>
      <c r="F12" s="53" t="s">
        <v>46</v>
      </c>
      <c r="G12" s="53" t="s">
        <v>46</v>
      </c>
      <c r="H12" s="53" t="s">
        <v>46</v>
      </c>
      <c r="I12" s="57" t="s">
        <v>46</v>
      </c>
      <c r="K12" s="195"/>
      <c r="L12" s="195"/>
      <c r="M12" s="195"/>
    </row>
    <row r="13" spans="1:16" x14ac:dyDescent="0.25">
      <c r="A13" s="84" t="s">
        <v>147</v>
      </c>
      <c r="B13" s="97">
        <f t="shared" ref="B13:I13" si="3">SUM(B14:B15)</f>
        <v>30.421000000000003</v>
      </c>
      <c r="C13" s="41">
        <f t="shared" si="3"/>
        <v>21.094999999999999</v>
      </c>
      <c r="D13" s="41">
        <f t="shared" si="3"/>
        <v>581.91399999999999</v>
      </c>
      <c r="E13" s="41">
        <f t="shared" si="3"/>
        <v>31.268000000000001</v>
      </c>
      <c r="F13" s="41">
        <f t="shared" si="3"/>
        <v>-6.3289999999999997</v>
      </c>
      <c r="G13" s="41">
        <f t="shared" si="3"/>
        <v>-11.746000000000002</v>
      </c>
      <c r="H13" s="41">
        <f t="shared" si="3"/>
        <v>19.116</v>
      </c>
      <c r="I13" s="56">
        <f t="shared" si="3"/>
        <v>18.141999999999999</v>
      </c>
      <c r="J13" s="3"/>
      <c r="K13" s="195"/>
      <c r="L13" s="195"/>
      <c r="M13" s="195"/>
    </row>
    <row r="14" spans="1:16" x14ac:dyDescent="0.25">
      <c r="A14" s="85" t="s">
        <v>148</v>
      </c>
      <c r="B14" s="90">
        <f>'7'!D56/1000</f>
        <v>6.2E-2</v>
      </c>
      <c r="C14" s="53">
        <f>'7'!E56/1000</f>
        <v>1.2050000000000001</v>
      </c>
      <c r="D14" s="53">
        <f>'7'!F56/1000</f>
        <v>0.91700000000000004</v>
      </c>
      <c r="E14" s="53">
        <f>'7'!G56/1000</f>
        <v>8.0000000000000002E-3</v>
      </c>
      <c r="F14" s="53">
        <f>'7'!H56/1000</f>
        <v>-12.907999999999999</v>
      </c>
      <c r="G14" s="53">
        <f>'7'!I56/1000</f>
        <v>-16.292000000000002</v>
      </c>
      <c r="H14" s="53">
        <f>'7'!J56/1000</f>
        <v>11.972</v>
      </c>
      <c r="I14" s="57">
        <f>17503/1000</f>
        <v>17.503</v>
      </c>
      <c r="J14" s="3"/>
      <c r="K14" s="195"/>
      <c r="L14" s="195"/>
      <c r="M14" s="195"/>
      <c r="N14" s="195"/>
      <c r="O14" s="195"/>
      <c r="P14" s="195"/>
    </row>
    <row r="15" spans="1:16" x14ac:dyDescent="0.25">
      <c r="A15" s="85" t="s">
        <v>149</v>
      </c>
      <c r="B15" s="90">
        <f>'11'!B6/1000</f>
        <v>30.359000000000002</v>
      </c>
      <c r="C15" s="53">
        <f>'11'!C6/1000</f>
        <v>19.89</v>
      </c>
      <c r="D15" s="53">
        <f>'11'!D6/1000</f>
        <v>580.99699999999996</v>
      </c>
      <c r="E15" s="53">
        <f>'11'!E6/1000</f>
        <v>31.26</v>
      </c>
      <c r="F15" s="53">
        <f>'11'!F6/1000</f>
        <v>6.5789999999999997</v>
      </c>
      <c r="G15" s="53">
        <f>'11'!G6/1000</f>
        <v>4.5460000000000003</v>
      </c>
      <c r="H15" s="53">
        <f>'11'!H6/1000</f>
        <v>7.1440000000000001</v>
      </c>
      <c r="I15" s="57">
        <f>639/1000</f>
        <v>0.63900000000000001</v>
      </c>
      <c r="J15" s="3"/>
      <c r="K15" s="195"/>
      <c r="L15" s="195"/>
      <c r="M15" s="195"/>
      <c r="N15" s="195"/>
      <c r="O15" s="195"/>
      <c r="P15" s="195"/>
    </row>
    <row r="16" spans="1:16" x14ac:dyDescent="0.25">
      <c r="A16" s="84" t="s">
        <v>150</v>
      </c>
      <c r="B16" s="97">
        <f t="shared" ref="B16:I16" si="4">SUM(B17:B18)</f>
        <v>1.2E-2</v>
      </c>
      <c r="C16" s="41">
        <f t="shared" si="4"/>
        <v>1.0999999999999999E-2</v>
      </c>
      <c r="D16" s="41">
        <f t="shared" si="4"/>
        <v>3.0000000000000001E-3</v>
      </c>
      <c r="E16" s="41">
        <f t="shared" si="4"/>
        <v>7.0000000000000001E-3</v>
      </c>
      <c r="F16" s="41">
        <f t="shared" si="4"/>
        <v>8.0000000000000002E-3</v>
      </c>
      <c r="G16" s="41">
        <f t="shared" si="4"/>
        <v>9.9999999999999985E-3</v>
      </c>
      <c r="H16" s="41">
        <f t="shared" si="4"/>
        <v>1.7999999999999999E-2</v>
      </c>
      <c r="I16" s="56">
        <f t="shared" si="4"/>
        <v>1.9E-2</v>
      </c>
      <c r="J16" s="3"/>
      <c r="K16" s="195"/>
      <c r="L16" s="195"/>
      <c r="M16" s="195"/>
    </row>
    <row r="17" spans="1:16" x14ac:dyDescent="0.25">
      <c r="A17" s="85" t="s">
        <v>151</v>
      </c>
      <c r="B17" s="90">
        <f>'13'!B5/1000</f>
        <v>8.0000000000000002E-3</v>
      </c>
      <c r="C17" s="53">
        <f>'13'!C5/1000</f>
        <v>0.01</v>
      </c>
      <c r="D17" s="53">
        <f>'13'!D5/1000</f>
        <v>2E-3</v>
      </c>
      <c r="E17" s="53">
        <f>'13'!E5/1000</f>
        <v>6.0000000000000001E-3</v>
      </c>
      <c r="F17" s="53">
        <f>'13'!F5/1000</f>
        <v>7.0000000000000001E-3</v>
      </c>
      <c r="G17" s="53">
        <f>'13'!G5/1000</f>
        <v>8.9999999999999993E-3</v>
      </c>
      <c r="H17" s="53">
        <f>'13'!H5/1000</f>
        <v>7.0000000000000001E-3</v>
      </c>
      <c r="I17" s="57">
        <f>'13'!I5/1000</f>
        <v>1.9E-2</v>
      </c>
      <c r="J17" s="3"/>
      <c r="K17" s="195"/>
      <c r="L17" s="195"/>
      <c r="M17" s="195"/>
      <c r="N17" s="195"/>
      <c r="O17" s="195"/>
      <c r="P17" s="195"/>
    </row>
    <row r="18" spans="1:16" x14ac:dyDescent="0.25">
      <c r="A18" s="85" t="s">
        <v>152</v>
      </c>
      <c r="B18" s="90">
        <f>'13'!B4/1000</f>
        <v>4.0000000000000001E-3</v>
      </c>
      <c r="C18" s="53">
        <f>'13'!C4/1000</f>
        <v>1E-3</v>
      </c>
      <c r="D18" s="53">
        <f>'13'!D4/1000</f>
        <v>1E-3</v>
      </c>
      <c r="E18" s="53">
        <f>'13'!E4/1000</f>
        <v>1E-3</v>
      </c>
      <c r="F18" s="53">
        <f>'13'!F4/1000</f>
        <v>1E-3</v>
      </c>
      <c r="G18" s="53">
        <f>'13'!G4/1000</f>
        <v>1E-3</v>
      </c>
      <c r="H18" s="53">
        <f>'13'!H4/1000</f>
        <v>1.0999999999999999E-2</v>
      </c>
      <c r="I18" s="57" t="s">
        <v>46</v>
      </c>
      <c r="J18" s="3"/>
      <c r="K18" s="195"/>
      <c r="L18" s="195"/>
      <c r="M18" s="195"/>
      <c r="N18" s="195"/>
    </row>
    <row r="19" spans="1:16" x14ac:dyDescent="0.25">
      <c r="A19" s="83" t="s">
        <v>173</v>
      </c>
      <c r="B19" s="98">
        <f t="shared" ref="B19:H19" si="5">SUM(B20,B23,B25,B27)</f>
        <v>-1770.4489999999998</v>
      </c>
      <c r="C19" s="33">
        <f t="shared" si="5"/>
        <v>-1256.6579999999999</v>
      </c>
      <c r="D19" s="33">
        <f t="shared" si="5"/>
        <v>-1392.5129999999999</v>
      </c>
      <c r="E19" s="33">
        <f t="shared" si="5"/>
        <v>-1599.7349999999999</v>
      </c>
      <c r="F19" s="33">
        <f t="shared" si="5"/>
        <v>-1141.9139999999998</v>
      </c>
      <c r="G19" s="33">
        <f t="shared" si="5"/>
        <v>-1561.3589999999999</v>
      </c>
      <c r="H19" s="33">
        <f t="shared" si="5"/>
        <v>-1685.6200000000001</v>
      </c>
      <c r="I19" s="99">
        <f t="shared" ref="I19" si="6">SUM(I20,I23,I25,I27)</f>
        <v>-1523.7009999999998</v>
      </c>
      <c r="J19" s="3"/>
      <c r="K19" s="195"/>
      <c r="L19" s="195"/>
      <c r="M19" s="195"/>
    </row>
    <row r="20" spans="1:16" x14ac:dyDescent="0.25">
      <c r="A20" s="84" t="s">
        <v>174</v>
      </c>
      <c r="B20" s="97">
        <f t="shared" ref="B20:H20" si="7">SUM(B21:B22)</f>
        <v>-950.47</v>
      </c>
      <c r="C20" s="41">
        <f t="shared" si="7"/>
        <v>-968.471</v>
      </c>
      <c r="D20" s="41">
        <f t="shared" si="7"/>
        <v>-990.70399999999995</v>
      </c>
      <c r="E20" s="41">
        <f t="shared" si="7"/>
        <v>-1017.832</v>
      </c>
      <c r="F20" s="41">
        <f t="shared" si="7"/>
        <v>-1042.059</v>
      </c>
      <c r="G20" s="41">
        <f t="shared" si="7"/>
        <v>-1437.884</v>
      </c>
      <c r="H20" s="41">
        <f t="shared" si="7"/>
        <v>-1568.45</v>
      </c>
      <c r="I20" s="56">
        <f t="shared" ref="I20" si="8">SUM(I21:I22)</f>
        <v>-1225.9110000000001</v>
      </c>
      <c r="K20" s="195"/>
      <c r="L20" s="195"/>
      <c r="M20" s="195"/>
    </row>
    <row r="21" spans="1:16" x14ac:dyDescent="0.25">
      <c r="A21" s="85" t="s">
        <v>175</v>
      </c>
      <c r="B21" s="90">
        <f>'12'!B7/1000</f>
        <v>0</v>
      </c>
      <c r="C21" s="53">
        <f>'12'!C7/1000</f>
        <v>0</v>
      </c>
      <c r="D21" s="53">
        <f>'12'!D7/1000</f>
        <v>0</v>
      </c>
      <c r="E21" s="53">
        <f>'12'!E7/1000</f>
        <v>0</v>
      </c>
      <c r="F21" s="53">
        <f>'12'!F7/1000</f>
        <v>0</v>
      </c>
      <c r="G21" s="53">
        <f>'12'!G7/1000</f>
        <v>-372.666</v>
      </c>
      <c r="H21" s="53">
        <f>'12'!H7/1000</f>
        <v>-469.17</v>
      </c>
      <c r="I21" s="57">
        <f>-253885/1000</f>
        <v>-253.88499999999999</v>
      </c>
      <c r="K21" s="195"/>
      <c r="L21" s="195"/>
      <c r="M21" s="195"/>
    </row>
    <row r="22" spans="1:16" x14ac:dyDescent="0.25">
      <c r="A22" s="85" t="s">
        <v>176</v>
      </c>
      <c r="B22" s="90">
        <f>'12'!B14/1000</f>
        <v>-950.47</v>
      </c>
      <c r="C22" s="53">
        <f>'12'!C14/1000</f>
        <v>-968.471</v>
      </c>
      <c r="D22" s="53">
        <f>'12'!D14/1000</f>
        <v>-990.70399999999995</v>
      </c>
      <c r="E22" s="53">
        <f>'12'!E14/1000</f>
        <v>-1017.832</v>
      </c>
      <c r="F22" s="53">
        <f>'12'!F14/1000</f>
        <v>-1042.059</v>
      </c>
      <c r="G22" s="53">
        <f>'12'!G14/1000</f>
        <v>-1065.2180000000001</v>
      </c>
      <c r="H22" s="53">
        <f>'12'!H14/1000</f>
        <v>-1099.28</v>
      </c>
      <c r="I22" s="57">
        <f>-972026/1000</f>
        <v>-972.02599999999995</v>
      </c>
      <c r="J22" s="3"/>
      <c r="K22" s="195"/>
      <c r="L22" s="195"/>
      <c r="M22" s="195"/>
    </row>
    <row r="23" spans="1:16" x14ac:dyDescent="0.25">
      <c r="A23" s="84" t="s">
        <v>177</v>
      </c>
      <c r="B23" s="97">
        <f t="shared" ref="B23:H23" si="9">SUM(B24:B24)</f>
        <v>-470.96499999999997</v>
      </c>
      <c r="C23" s="41">
        <f t="shared" si="9"/>
        <v>-204.18600000000001</v>
      </c>
      <c r="D23" s="41">
        <f t="shared" si="9"/>
        <v>-141.422</v>
      </c>
      <c r="E23" s="41">
        <f t="shared" si="9"/>
        <v>-499.24700000000001</v>
      </c>
      <c r="F23" s="41">
        <f t="shared" si="9"/>
        <v>-14.37</v>
      </c>
      <c r="G23" s="41">
        <f t="shared" si="9"/>
        <v>-17.077999999999999</v>
      </c>
      <c r="H23" s="41">
        <f t="shared" si="9"/>
        <v>0</v>
      </c>
      <c r="I23" s="56">
        <f>SUM(I24:I24)</f>
        <v>-1.0620000000000001</v>
      </c>
      <c r="K23" s="195"/>
      <c r="L23" s="195"/>
      <c r="M23" s="195"/>
    </row>
    <row r="24" spans="1:16" x14ac:dyDescent="0.25">
      <c r="A24" s="85" t="s">
        <v>178</v>
      </c>
      <c r="B24" s="90">
        <f>'6'!B76/1000</f>
        <v>-470.96499999999997</v>
      </c>
      <c r="C24" s="53">
        <f>'6'!C76/1000</f>
        <v>-204.18600000000001</v>
      </c>
      <c r="D24" s="53">
        <f>'6'!D76/1000</f>
        <v>-141.422</v>
      </c>
      <c r="E24" s="53">
        <f>'6'!E76/1000</f>
        <v>-499.24700000000001</v>
      </c>
      <c r="F24" s="53">
        <f>'6'!F76/1000</f>
        <v>-14.37</v>
      </c>
      <c r="G24" s="53">
        <f>'6'!G76/1000</f>
        <v>-17.077999999999999</v>
      </c>
      <c r="H24" s="53" t="str">
        <f>'6'!H76</f>
        <v>--</v>
      </c>
      <c r="I24" s="57">
        <f>-1062/1000</f>
        <v>-1.0620000000000001</v>
      </c>
      <c r="J24" s="3"/>
      <c r="K24" s="195"/>
      <c r="L24" s="195"/>
      <c r="M24" s="195"/>
      <c r="N24" s="196"/>
    </row>
    <row r="25" spans="1:16" x14ac:dyDescent="0.25">
      <c r="A25" s="84" t="s">
        <v>179</v>
      </c>
      <c r="B25" s="97">
        <f t="shared" ref="B25:I25" si="10">SUM(B26:B26)</f>
        <v>-251.023</v>
      </c>
      <c r="C25" s="41">
        <f t="shared" si="10"/>
        <v>0</v>
      </c>
      <c r="D25" s="41">
        <f t="shared" si="10"/>
        <v>-175.93799999999999</v>
      </c>
      <c r="E25" s="41">
        <f t="shared" si="10"/>
        <v>0</v>
      </c>
      <c r="F25" s="41">
        <f t="shared" si="10"/>
        <v>0</v>
      </c>
      <c r="G25" s="41">
        <f t="shared" si="10"/>
        <v>-4.0000000000000001E-3</v>
      </c>
      <c r="H25" s="41">
        <f t="shared" si="10"/>
        <v>-7.633</v>
      </c>
      <c r="I25" s="56">
        <f t="shared" si="10"/>
        <v>-18.783000000000001</v>
      </c>
      <c r="J25" s="3"/>
      <c r="K25" s="195"/>
      <c r="L25" s="195"/>
      <c r="M25" s="195"/>
    </row>
    <row r="26" spans="1:16" x14ac:dyDescent="0.25">
      <c r="A26" s="85" t="s">
        <v>283</v>
      </c>
      <c r="B26" s="90">
        <f>'8'!B18/1000</f>
        <v>-251.023</v>
      </c>
      <c r="C26" s="53">
        <f>'7'!E93/1000</f>
        <v>0</v>
      </c>
      <c r="D26" s="53">
        <f>'8'!D18/1000</f>
        <v>-175.93799999999999</v>
      </c>
      <c r="E26" s="53">
        <f>'7'!G93/1000</f>
        <v>0</v>
      </c>
      <c r="F26" s="53">
        <f>'7'!H93/1000</f>
        <v>0</v>
      </c>
      <c r="G26" s="53">
        <f>'7'!I93/1000</f>
        <v>-4.0000000000000001E-3</v>
      </c>
      <c r="H26" s="53">
        <f>'7'!J93/1000</f>
        <v>-7.633</v>
      </c>
      <c r="I26" s="57">
        <f>-18783/1000</f>
        <v>-18.783000000000001</v>
      </c>
      <c r="K26" s="195"/>
      <c r="L26" s="195"/>
      <c r="M26" s="195"/>
    </row>
    <row r="27" spans="1:16" x14ac:dyDescent="0.25">
      <c r="A27" s="84" t="s">
        <v>180</v>
      </c>
      <c r="B27" s="97">
        <f t="shared" ref="B27:I27" si="11">SUM(B28:B31)</f>
        <v>-97.991</v>
      </c>
      <c r="C27" s="41">
        <f t="shared" si="11"/>
        <v>-84.000999999999991</v>
      </c>
      <c r="D27" s="41">
        <f t="shared" si="11"/>
        <v>-84.448999999999998</v>
      </c>
      <c r="E27" s="41">
        <f t="shared" si="11"/>
        <v>-82.655999999999992</v>
      </c>
      <c r="F27" s="41">
        <f t="shared" si="11"/>
        <v>-85.484999999999999</v>
      </c>
      <c r="G27" s="41">
        <f t="shared" si="11"/>
        <v>-106.393</v>
      </c>
      <c r="H27" s="41">
        <f t="shared" si="11"/>
        <v>-109.53700000000001</v>
      </c>
      <c r="I27" s="56">
        <f t="shared" si="11"/>
        <v>-277.94499999999999</v>
      </c>
      <c r="J27" s="3"/>
      <c r="K27" s="195"/>
      <c r="L27" s="195"/>
      <c r="M27" s="195"/>
    </row>
    <row r="28" spans="1:16" x14ac:dyDescent="0.25">
      <c r="A28" s="85" t="s">
        <v>181</v>
      </c>
      <c r="B28" s="90">
        <f>'9'!B16/1000</f>
        <v>-88.707999999999998</v>
      </c>
      <c r="C28" s="53">
        <f>'9'!C16/1000</f>
        <v>-83.876999999999995</v>
      </c>
      <c r="D28" s="53">
        <f>'9'!D16/1000</f>
        <v>-84.316000000000003</v>
      </c>
      <c r="E28" s="53">
        <f>'9'!E16/1000</f>
        <v>-82.522999999999996</v>
      </c>
      <c r="F28" s="53">
        <f>'9'!F16/1000</f>
        <v>-81.849000000000004</v>
      </c>
      <c r="G28" s="53">
        <f>'9'!G16/1000</f>
        <v>-105.836</v>
      </c>
      <c r="H28" s="53">
        <f>'9'!H16/1000</f>
        <v>-109.31100000000001</v>
      </c>
      <c r="I28" s="57">
        <f>-277776/1000</f>
        <v>-277.77600000000001</v>
      </c>
      <c r="J28" s="3"/>
      <c r="K28" s="195"/>
      <c r="L28" s="195"/>
      <c r="M28" s="195"/>
    </row>
    <row r="29" spans="1:16" x14ac:dyDescent="0.25">
      <c r="A29" s="85" t="s">
        <v>182</v>
      </c>
      <c r="B29" s="90">
        <f>'13'!B7/1000</f>
        <v>-6.2E-2</v>
      </c>
      <c r="C29" s="53">
        <f>'13'!C7/1000</f>
        <v>-0.124</v>
      </c>
      <c r="D29" s="53">
        <f>'13'!D7/1000</f>
        <v>-0.13300000000000001</v>
      </c>
      <c r="E29" s="53">
        <f>'13'!E7/1000</f>
        <v>-0.13300000000000001</v>
      </c>
      <c r="F29" s="53">
        <f>'13'!F7/1000</f>
        <v>-0.154</v>
      </c>
      <c r="G29" s="53">
        <f>'13'!G7/1000</f>
        <v>-0.157</v>
      </c>
      <c r="H29" s="53">
        <f>'13'!H7/1000</f>
        <v>-7.9000000000000001E-2</v>
      </c>
      <c r="I29" s="57">
        <f>-80/1000</f>
        <v>-0.08</v>
      </c>
      <c r="J29" s="3"/>
      <c r="K29" s="195"/>
      <c r="L29" s="195"/>
      <c r="M29" s="195"/>
    </row>
    <row r="30" spans="1:16" x14ac:dyDescent="0.25">
      <c r="A30" s="85" t="s">
        <v>183</v>
      </c>
      <c r="B30" s="90">
        <f>'13'!B6/1000</f>
        <v>0</v>
      </c>
      <c r="C30" s="53">
        <f>'13'!C6/1000</f>
        <v>0</v>
      </c>
      <c r="D30" s="53">
        <f>'13'!D6/1000</f>
        <v>0</v>
      </c>
      <c r="E30" s="53">
        <f>'13'!E6/1000</f>
        <v>0</v>
      </c>
      <c r="F30" s="53">
        <f>'13'!F6/1000</f>
        <v>0</v>
      </c>
      <c r="G30" s="53">
        <f>'13'!G6/1000</f>
        <v>-0.39900000000000002</v>
      </c>
      <c r="H30" s="53">
        <f>'13'!H6/1000</f>
        <v>-0.14599999999999999</v>
      </c>
      <c r="I30" s="57">
        <f>-89/1000</f>
        <v>-8.8999999999999996E-2</v>
      </c>
      <c r="J30" s="3"/>
      <c r="K30" s="195"/>
      <c r="L30" s="195"/>
      <c r="M30" s="195"/>
      <c r="N30" s="195"/>
      <c r="O30" s="195"/>
      <c r="P30" s="195"/>
    </row>
    <row r="31" spans="1:16" x14ac:dyDescent="0.25">
      <c r="A31" s="85" t="s">
        <v>184</v>
      </c>
      <c r="B31" s="90">
        <f>'13'!B8/1000</f>
        <v>-9.2210000000000001</v>
      </c>
      <c r="C31" s="53">
        <f>'13'!C8/1000</f>
        <v>0</v>
      </c>
      <c r="D31" s="53">
        <f>'13'!D8/1000</f>
        <v>0</v>
      </c>
      <c r="E31" s="53">
        <f>'13'!E8/1000</f>
        <v>0</v>
      </c>
      <c r="F31" s="53">
        <f>'13'!F8/1000</f>
        <v>-3.4820000000000002</v>
      </c>
      <c r="G31" s="53">
        <f>'13'!G8/1000</f>
        <v>-1E-3</v>
      </c>
      <c r="H31" s="53">
        <f>'13'!H8/1000</f>
        <v>-1E-3</v>
      </c>
      <c r="I31" s="57" t="s">
        <v>46</v>
      </c>
      <c r="J31" s="3"/>
      <c r="K31" s="195"/>
      <c r="L31" s="195"/>
      <c r="M31" s="195"/>
      <c r="N31" s="195"/>
    </row>
    <row r="32" spans="1:16" ht="15.75" thickBot="1" x14ac:dyDescent="0.3">
      <c r="A32" s="95" t="s">
        <v>206</v>
      </c>
      <c r="B32" s="100">
        <f t="shared" ref="B32:G32" si="12">B3+B19</f>
        <v>833.4830000000004</v>
      </c>
      <c r="C32" s="58">
        <f t="shared" si="12"/>
        <v>1185.4920000000002</v>
      </c>
      <c r="D32" s="58">
        <f t="shared" si="12"/>
        <v>1147.6470000000004</v>
      </c>
      <c r="E32" s="58">
        <f t="shared" si="12"/>
        <v>956.40200000000027</v>
      </c>
      <c r="F32" s="58">
        <f t="shared" si="12"/>
        <v>977.23599999999942</v>
      </c>
      <c r="G32" s="58">
        <f t="shared" si="12"/>
        <v>1359.3680000000004</v>
      </c>
      <c r="H32" s="58">
        <f>H3+H19</f>
        <v>1464.0509999999997</v>
      </c>
      <c r="I32" s="59">
        <f>I3+I19</f>
        <v>1070.47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0" sqref="A20"/>
    </sheetView>
  </sheetViews>
  <sheetFormatPr defaultRowHeight="15" x14ac:dyDescent="0.25"/>
  <cols>
    <col min="1" max="1" width="39.5703125" style="12" bestFit="1" customWidth="1"/>
    <col min="2" max="5" width="21.7109375" style="12" bestFit="1" customWidth="1"/>
    <col min="6" max="6" width="23.140625" style="12" bestFit="1" customWidth="1"/>
    <col min="7" max="12" width="21.7109375" style="12" bestFit="1" customWidth="1"/>
    <col min="13" max="16384" width="9.140625" style="12"/>
  </cols>
  <sheetData>
    <row r="1" spans="1:12" ht="15.75" thickBot="1" x14ac:dyDescent="0.3">
      <c r="K1" s="220"/>
      <c r="L1" s="220"/>
    </row>
    <row r="2" spans="1:12" ht="15.75" thickBot="1" x14ac:dyDescent="0.3">
      <c r="A2" s="255"/>
      <c r="B2" s="256" t="s">
        <v>329</v>
      </c>
      <c r="C2" s="76" t="s">
        <v>328</v>
      </c>
      <c r="D2" s="76" t="s">
        <v>327</v>
      </c>
      <c r="E2" s="76" t="s">
        <v>326</v>
      </c>
      <c r="F2" s="76" t="s">
        <v>325</v>
      </c>
      <c r="G2" s="76" t="s">
        <v>324</v>
      </c>
      <c r="H2" s="76" t="s">
        <v>323</v>
      </c>
      <c r="I2" s="76" t="s">
        <v>322</v>
      </c>
      <c r="J2" s="76" t="s">
        <v>321</v>
      </c>
      <c r="K2" s="76" t="s">
        <v>320</v>
      </c>
      <c r="L2" s="77" t="s">
        <v>401</v>
      </c>
    </row>
    <row r="3" spans="1:12" x14ac:dyDescent="0.25">
      <c r="A3" s="251" t="s">
        <v>187</v>
      </c>
      <c r="B3" s="252"/>
      <c r="C3" s="253"/>
      <c r="D3" s="253"/>
      <c r="E3" s="253"/>
      <c r="F3" s="253"/>
      <c r="G3" s="253"/>
      <c r="H3" s="253"/>
      <c r="I3" s="253"/>
      <c r="J3" s="253"/>
      <c r="K3" s="253"/>
      <c r="L3" s="254"/>
    </row>
    <row r="4" spans="1:12" x14ac:dyDescent="0.25">
      <c r="A4" s="245"/>
      <c r="B4" s="240"/>
      <c r="C4" s="231"/>
      <c r="D4" s="231"/>
      <c r="E4" s="231"/>
      <c r="F4" s="231"/>
      <c r="G4" s="231"/>
      <c r="H4" s="231"/>
      <c r="I4" s="231"/>
      <c r="J4" s="231"/>
      <c r="K4" s="231"/>
      <c r="L4" s="233"/>
    </row>
    <row r="5" spans="1:12" x14ac:dyDescent="0.25">
      <c r="A5" s="245" t="s">
        <v>330</v>
      </c>
      <c r="B5" s="241"/>
      <c r="C5" s="229"/>
      <c r="D5" s="229"/>
      <c r="E5" s="229"/>
      <c r="F5" s="229"/>
      <c r="G5" s="229"/>
      <c r="H5" s="229"/>
      <c r="I5" s="229"/>
      <c r="J5" s="229"/>
      <c r="K5" s="229">
        <v>94310009</v>
      </c>
      <c r="L5" s="236"/>
    </row>
    <row r="6" spans="1:12" x14ac:dyDescent="0.25">
      <c r="A6" s="245" t="s">
        <v>331</v>
      </c>
      <c r="B6" s="241">
        <v>29361600</v>
      </c>
      <c r="C6" s="229">
        <v>28729835</v>
      </c>
      <c r="D6" s="229">
        <v>28147927</v>
      </c>
      <c r="E6" s="229">
        <v>27606834</v>
      </c>
      <c r="F6" s="229">
        <v>27094263</v>
      </c>
      <c r="G6" s="229">
        <v>26516039</v>
      </c>
      <c r="H6" s="229">
        <v>26005541</v>
      </c>
      <c r="I6" s="229">
        <v>25462668</v>
      </c>
      <c r="J6" s="229">
        <v>24785640</v>
      </c>
      <c r="K6" s="229">
        <v>24102902</v>
      </c>
      <c r="L6" s="236">
        <v>20266684</v>
      </c>
    </row>
    <row r="7" spans="1:12" x14ac:dyDescent="0.25">
      <c r="A7" s="245" t="s">
        <v>403</v>
      </c>
      <c r="B7" s="241">
        <f>22202965784.06/1000</f>
        <v>22202965.784060001</v>
      </c>
      <c r="C7" s="229">
        <f>23267401202.8/1000</f>
        <v>23267401.202799998</v>
      </c>
      <c r="D7" s="229">
        <f>24180044854.96/1000</f>
        <v>24180044.854959998</v>
      </c>
      <c r="E7" s="229">
        <f>24965698425.55/1000</f>
        <v>24965698.425549999</v>
      </c>
      <c r="F7" s="229">
        <f>25526502028.2/1000</f>
        <v>25526502.028200001</v>
      </c>
      <c r="G7" s="229">
        <f>26110341626.16/1000</f>
        <v>26110341.62616</v>
      </c>
      <c r="H7" s="229">
        <f>26942892395.28/1000</f>
        <v>26942892.39528</v>
      </c>
      <c r="I7" s="229">
        <f>27616002229.18/1000</f>
        <v>27616002.229180001</v>
      </c>
      <c r="J7" s="229">
        <f>28118332368.23/1000</f>
        <v>28118332.36823</v>
      </c>
      <c r="K7" s="229">
        <f>29033997248.78/1000</f>
        <v>29033997.248779997</v>
      </c>
      <c r="L7" s="236">
        <f>26149597681.43/1000</f>
        <v>26149597.681430001</v>
      </c>
    </row>
    <row r="8" spans="1:12" x14ac:dyDescent="0.25">
      <c r="A8" s="245" t="s">
        <v>332</v>
      </c>
      <c r="B8" s="241"/>
      <c r="C8" s="229"/>
      <c r="D8" s="229"/>
      <c r="E8" s="229"/>
      <c r="F8" s="229"/>
      <c r="G8" s="229"/>
      <c r="H8" s="229"/>
      <c r="I8" s="229"/>
      <c r="J8" s="229"/>
      <c r="K8" s="229">
        <v>46581657</v>
      </c>
      <c r="L8" s="236"/>
    </row>
    <row r="9" spans="1:12" x14ac:dyDescent="0.25">
      <c r="A9" s="245" t="s">
        <v>333</v>
      </c>
      <c r="B9" s="241"/>
      <c r="C9" s="229"/>
      <c r="D9" s="229"/>
      <c r="E9" s="229"/>
      <c r="F9" s="229"/>
      <c r="G9" s="229"/>
      <c r="H9" s="229"/>
      <c r="I9" s="229"/>
      <c r="J9" s="229"/>
      <c r="K9" s="229">
        <v>140891666</v>
      </c>
      <c r="L9" s="236"/>
    </row>
    <row r="10" spans="1:12" x14ac:dyDescent="0.25">
      <c r="A10" s="245"/>
      <c r="B10" s="241"/>
      <c r="C10" s="229"/>
      <c r="D10" s="229"/>
      <c r="E10" s="229"/>
      <c r="F10" s="229"/>
      <c r="G10" s="229"/>
      <c r="H10" s="229"/>
      <c r="I10" s="229"/>
      <c r="J10" s="229"/>
      <c r="K10" s="229"/>
      <c r="L10" s="236"/>
    </row>
    <row r="11" spans="1:12" x14ac:dyDescent="0.25">
      <c r="A11" s="246" t="s">
        <v>99</v>
      </c>
      <c r="B11" s="240"/>
      <c r="C11" s="231"/>
      <c r="D11" s="231"/>
      <c r="E11" s="231"/>
      <c r="F11" s="231"/>
      <c r="G11" s="231"/>
      <c r="H11" s="231"/>
      <c r="I11" s="231"/>
      <c r="J11" s="231"/>
      <c r="K11" s="231"/>
      <c r="L11" s="233"/>
    </row>
    <row r="12" spans="1:12" x14ac:dyDescent="0.25">
      <c r="A12" s="247" t="s">
        <v>335</v>
      </c>
      <c r="B12" s="240"/>
      <c r="C12" s="231"/>
      <c r="D12" s="231"/>
      <c r="E12" s="231"/>
      <c r="F12" s="231"/>
      <c r="G12" s="231"/>
      <c r="H12" s="231"/>
      <c r="I12" s="231"/>
      <c r="J12" s="231"/>
      <c r="K12" s="231"/>
      <c r="L12" s="233"/>
    </row>
    <row r="13" spans="1:12" x14ac:dyDescent="0.25">
      <c r="A13" s="245" t="s">
        <v>319</v>
      </c>
      <c r="B13" s="240"/>
      <c r="C13" s="231"/>
      <c r="D13" s="231"/>
      <c r="E13" s="231"/>
      <c r="F13" s="231"/>
      <c r="G13" s="231"/>
      <c r="H13" s="229">
        <v>526620</v>
      </c>
      <c r="I13" s="229">
        <v>557171</v>
      </c>
      <c r="J13" s="229">
        <v>743836</v>
      </c>
      <c r="K13" s="229">
        <v>669931</v>
      </c>
      <c r="L13" s="236">
        <v>3898521</v>
      </c>
    </row>
    <row r="14" spans="1:12" x14ac:dyDescent="0.25">
      <c r="A14" s="245" t="s">
        <v>336</v>
      </c>
      <c r="B14" s="240"/>
      <c r="C14" s="231"/>
      <c r="D14" s="231"/>
      <c r="E14" s="231"/>
      <c r="F14" s="231"/>
      <c r="G14" s="231"/>
      <c r="H14" s="232">
        <v>645830</v>
      </c>
      <c r="I14" s="232">
        <v>700993</v>
      </c>
      <c r="J14" s="232">
        <v>923473</v>
      </c>
      <c r="K14" s="232">
        <v>900853</v>
      </c>
      <c r="L14" s="237">
        <v>5139015</v>
      </c>
    </row>
    <row r="15" spans="1:12" x14ac:dyDescent="0.25">
      <c r="A15" s="247" t="s">
        <v>95</v>
      </c>
      <c r="B15" s="240"/>
      <c r="C15" s="231"/>
      <c r="D15" s="231"/>
      <c r="E15" s="231"/>
      <c r="F15" s="231"/>
      <c r="G15" s="231"/>
      <c r="H15" s="231"/>
      <c r="I15" s="231"/>
      <c r="J15" s="231"/>
      <c r="K15" s="231"/>
      <c r="L15" s="233"/>
    </row>
    <row r="16" spans="1:12" x14ac:dyDescent="0.25">
      <c r="A16" s="245" t="s">
        <v>319</v>
      </c>
      <c r="B16" s="240"/>
      <c r="C16" s="231"/>
      <c r="D16" s="231"/>
      <c r="E16" s="231"/>
      <c r="F16" s="231"/>
      <c r="G16" s="231"/>
      <c r="H16" s="230">
        <v>12557897</v>
      </c>
      <c r="I16" s="230">
        <v>12069239</v>
      </c>
      <c r="J16" s="230">
        <v>10925478</v>
      </c>
      <c r="K16" s="230">
        <v>10751944</v>
      </c>
      <c r="L16" s="238">
        <v>8702533</v>
      </c>
    </row>
    <row r="17" spans="1:12" x14ac:dyDescent="0.25">
      <c r="A17" s="245" t="s">
        <v>336</v>
      </c>
      <c r="B17" s="240"/>
      <c r="C17" s="231"/>
      <c r="D17" s="231"/>
      <c r="E17" s="231"/>
      <c r="F17" s="231"/>
      <c r="G17" s="231"/>
      <c r="H17" s="232">
        <v>522800</v>
      </c>
      <c r="I17" s="232">
        <v>495741</v>
      </c>
      <c r="J17" s="232">
        <v>493249</v>
      </c>
      <c r="K17" s="232">
        <v>556586</v>
      </c>
      <c r="L17" s="237">
        <v>433081</v>
      </c>
    </row>
    <row r="18" spans="1:12" x14ac:dyDescent="0.25">
      <c r="A18" s="247" t="s">
        <v>337</v>
      </c>
      <c r="B18" s="240"/>
      <c r="C18" s="231"/>
      <c r="D18" s="231"/>
      <c r="E18" s="230"/>
      <c r="F18" s="230"/>
      <c r="G18" s="231"/>
      <c r="H18" s="232">
        <f>SUM(H14,H17)</f>
        <v>1168630</v>
      </c>
      <c r="I18" s="232">
        <f>SUM(I14,I17)</f>
        <v>1196734</v>
      </c>
      <c r="J18" s="232">
        <f>SUM(J14,J17)</f>
        <v>1416722</v>
      </c>
      <c r="K18" s="232">
        <f>SUM(K14,K17)</f>
        <v>1457439</v>
      </c>
      <c r="L18" s="237">
        <f>SUM(L14,L17)</f>
        <v>5572096</v>
      </c>
    </row>
    <row r="19" spans="1:12" x14ac:dyDescent="0.25">
      <c r="A19" s="245"/>
      <c r="B19" s="240"/>
      <c r="C19" s="231"/>
      <c r="D19" s="231"/>
      <c r="E19" s="230"/>
      <c r="F19" s="231"/>
      <c r="G19" s="231"/>
      <c r="H19" s="231"/>
      <c r="I19" s="231"/>
      <c r="J19" s="231"/>
      <c r="K19" s="231"/>
      <c r="L19" s="233"/>
    </row>
    <row r="20" spans="1:12" x14ac:dyDescent="0.25">
      <c r="A20" s="244" t="s">
        <v>188</v>
      </c>
      <c r="B20" s="240"/>
      <c r="C20" s="231"/>
      <c r="D20" s="231"/>
      <c r="E20" s="230"/>
      <c r="F20" s="231"/>
      <c r="G20" s="231"/>
      <c r="H20" s="231"/>
      <c r="I20" s="231"/>
      <c r="J20" s="231"/>
      <c r="K20" s="231"/>
      <c r="L20" s="233"/>
    </row>
    <row r="21" spans="1:12" x14ac:dyDescent="0.25">
      <c r="A21" s="245"/>
      <c r="B21" s="240"/>
      <c r="C21" s="231"/>
      <c r="D21" s="231"/>
      <c r="E21" s="230"/>
      <c r="F21" s="231"/>
      <c r="G21" s="231"/>
      <c r="H21" s="231"/>
      <c r="I21" s="231"/>
      <c r="J21" s="231"/>
      <c r="K21" s="231"/>
      <c r="L21" s="233"/>
    </row>
    <row r="22" spans="1:12" x14ac:dyDescent="0.25">
      <c r="A22" s="245" t="s">
        <v>330</v>
      </c>
      <c r="B22" s="240"/>
      <c r="C22" s="231"/>
      <c r="D22" s="231"/>
      <c r="E22" s="230"/>
      <c r="F22" s="231"/>
      <c r="G22" s="231"/>
      <c r="H22" s="231"/>
      <c r="I22" s="231"/>
      <c r="J22" s="231"/>
      <c r="K22" s="231"/>
      <c r="L22" s="233"/>
    </row>
    <row r="23" spans="1:12" x14ac:dyDescent="0.25">
      <c r="A23" s="245" t="s">
        <v>331</v>
      </c>
      <c r="B23" s="242">
        <v>6228083</v>
      </c>
      <c r="C23" s="230">
        <v>6119194</v>
      </c>
      <c r="D23" s="230">
        <v>6008145</v>
      </c>
      <c r="E23" s="230">
        <v>5860976</v>
      </c>
      <c r="F23" s="230">
        <v>5671712</v>
      </c>
      <c r="G23" s="230">
        <v>5483186</v>
      </c>
      <c r="H23" s="230">
        <v>5346825</v>
      </c>
      <c r="I23" s="230">
        <v>5152545</v>
      </c>
      <c r="J23" s="230">
        <v>4811282</v>
      </c>
      <c r="K23" s="230">
        <v>4556323</v>
      </c>
      <c r="L23" s="238">
        <v>3504267</v>
      </c>
    </row>
    <row r="24" spans="1:12" x14ac:dyDescent="0.25">
      <c r="A24" s="245" t="s">
        <v>334</v>
      </c>
      <c r="B24" s="242"/>
      <c r="C24" s="230"/>
      <c r="D24" s="230"/>
      <c r="E24" s="230"/>
      <c r="F24" s="230"/>
      <c r="G24" s="230"/>
      <c r="H24" s="230"/>
      <c r="I24" s="230"/>
      <c r="J24" s="230"/>
      <c r="K24" s="230"/>
      <c r="L24" s="238"/>
    </row>
    <row r="25" spans="1:12" x14ac:dyDescent="0.25">
      <c r="A25" s="245" t="s">
        <v>332</v>
      </c>
      <c r="B25" s="242"/>
      <c r="C25" s="230"/>
      <c r="D25" s="230"/>
      <c r="E25" s="230"/>
      <c r="F25" s="230"/>
      <c r="G25" s="230"/>
      <c r="H25" s="230"/>
      <c r="I25" s="230"/>
      <c r="J25" s="230"/>
      <c r="K25" s="230"/>
      <c r="L25" s="238"/>
    </row>
    <row r="26" spans="1:12" x14ac:dyDescent="0.25">
      <c r="A26" s="245" t="s">
        <v>333</v>
      </c>
      <c r="B26" s="240"/>
      <c r="C26" s="231"/>
      <c r="D26" s="231"/>
      <c r="E26" s="231"/>
      <c r="F26" s="231"/>
      <c r="G26" s="231"/>
      <c r="H26" s="231"/>
      <c r="I26" s="231"/>
      <c r="J26" s="231"/>
      <c r="K26" s="231"/>
      <c r="L26" s="233"/>
    </row>
    <row r="27" spans="1:12" x14ac:dyDescent="0.25">
      <c r="A27" s="245"/>
      <c r="B27" s="240"/>
      <c r="C27" s="231"/>
      <c r="D27" s="231"/>
      <c r="E27" s="230"/>
      <c r="F27" s="230"/>
      <c r="G27" s="230"/>
      <c r="H27" s="230"/>
      <c r="I27" s="231"/>
      <c r="J27" s="231"/>
      <c r="K27" s="231"/>
      <c r="L27" s="233"/>
    </row>
    <row r="28" spans="1:12" x14ac:dyDescent="0.25">
      <c r="A28" s="246" t="s">
        <v>99</v>
      </c>
      <c r="B28" s="240"/>
      <c r="C28" s="231"/>
      <c r="D28" s="231"/>
      <c r="E28" s="231"/>
      <c r="F28" s="231"/>
      <c r="G28" s="231"/>
      <c r="H28" s="231"/>
      <c r="I28" s="231"/>
      <c r="J28" s="230"/>
      <c r="K28" s="231"/>
      <c r="L28" s="233"/>
    </row>
    <row r="29" spans="1:12" x14ac:dyDescent="0.25">
      <c r="A29" s="247" t="s">
        <v>335</v>
      </c>
      <c r="B29" s="240"/>
      <c r="C29" s="231"/>
      <c r="D29" s="231"/>
      <c r="E29" s="230"/>
      <c r="F29" s="230"/>
      <c r="G29" s="230"/>
      <c r="H29" s="230"/>
      <c r="I29" s="231"/>
      <c r="J29" s="230"/>
      <c r="K29" s="231"/>
      <c r="L29" s="233"/>
    </row>
    <row r="30" spans="1:12" x14ac:dyDescent="0.25">
      <c r="A30" s="245" t="s">
        <v>319</v>
      </c>
      <c r="B30" s="240"/>
      <c r="C30" s="231"/>
      <c r="D30" s="231"/>
      <c r="E30" s="231"/>
      <c r="F30" s="231"/>
      <c r="G30" s="231"/>
      <c r="H30" s="230">
        <v>186677</v>
      </c>
      <c r="I30" s="230">
        <v>196464</v>
      </c>
      <c r="J30" s="230">
        <v>288873</v>
      </c>
      <c r="K30" s="230">
        <v>258212</v>
      </c>
      <c r="L30" s="238">
        <v>1059060</v>
      </c>
    </row>
    <row r="31" spans="1:12" x14ac:dyDescent="0.25">
      <c r="A31" s="245" t="s">
        <v>336</v>
      </c>
      <c r="B31" s="240"/>
      <c r="C31" s="231"/>
      <c r="D31" s="231"/>
      <c r="E31" s="231"/>
      <c r="F31" s="231"/>
      <c r="G31" s="231"/>
      <c r="H31" s="150">
        <v>229972</v>
      </c>
      <c r="I31" s="150">
        <v>235243</v>
      </c>
      <c r="J31" s="150">
        <v>415160</v>
      </c>
      <c r="K31" s="150">
        <v>349404</v>
      </c>
      <c r="L31" s="239">
        <v>1671315</v>
      </c>
    </row>
    <row r="32" spans="1:12" x14ac:dyDescent="0.25">
      <c r="A32" s="247" t="s">
        <v>95</v>
      </c>
      <c r="B32" s="240"/>
      <c r="C32" s="231"/>
      <c r="D32" s="231"/>
      <c r="E32" s="231"/>
      <c r="F32" s="231"/>
      <c r="G32" s="231"/>
      <c r="H32" s="231"/>
      <c r="I32" s="231"/>
      <c r="J32" s="230"/>
      <c r="K32" s="231"/>
      <c r="L32" s="233"/>
    </row>
    <row r="33" spans="1:12" x14ac:dyDescent="0.25">
      <c r="A33" s="245" t="s">
        <v>319</v>
      </c>
      <c r="B33" s="240"/>
      <c r="C33" s="231"/>
      <c r="D33" s="231"/>
      <c r="E33" s="231"/>
      <c r="F33" s="231"/>
      <c r="G33" s="231"/>
      <c r="H33" s="230">
        <v>3361252</v>
      </c>
      <c r="I33" s="230">
        <v>2510102</v>
      </c>
      <c r="J33" s="230">
        <v>2354758</v>
      </c>
      <c r="K33" s="230">
        <v>2208608</v>
      </c>
      <c r="L33" s="238">
        <v>1916416</v>
      </c>
    </row>
    <row r="34" spans="1:12" x14ac:dyDescent="0.25">
      <c r="A34" s="245" t="s">
        <v>336</v>
      </c>
      <c r="B34" s="240"/>
      <c r="C34" s="231"/>
      <c r="D34" s="231"/>
      <c r="E34" s="231"/>
      <c r="F34" s="231"/>
      <c r="G34" s="231"/>
      <c r="H34" s="230">
        <v>157431</v>
      </c>
      <c r="I34" s="230">
        <v>116088</v>
      </c>
      <c r="J34" s="150">
        <v>121692</v>
      </c>
      <c r="K34" s="150">
        <v>125973</v>
      </c>
      <c r="L34" s="239">
        <v>109280</v>
      </c>
    </row>
    <row r="35" spans="1:12" x14ac:dyDescent="0.25">
      <c r="A35" s="247" t="s">
        <v>337</v>
      </c>
      <c r="B35" s="240"/>
      <c r="C35" s="231"/>
      <c r="D35" s="231"/>
      <c r="E35" s="231"/>
      <c r="F35" s="231"/>
      <c r="G35" s="231"/>
      <c r="H35" s="231"/>
      <c r="I35" s="231"/>
      <c r="J35" s="232">
        <f>SUM(J31,J34)</f>
        <v>536852</v>
      </c>
      <c r="K35" s="232">
        <f>SUM(K31,K34)</f>
        <v>475377</v>
      </c>
      <c r="L35" s="237">
        <f>SUM(L31,L34)</f>
        <v>1780595</v>
      </c>
    </row>
    <row r="36" spans="1:12" x14ac:dyDescent="0.25">
      <c r="A36" s="245"/>
      <c r="B36" s="240"/>
      <c r="C36" s="231"/>
      <c r="D36" s="230"/>
      <c r="E36" s="231"/>
      <c r="F36" s="230"/>
      <c r="G36" s="231"/>
      <c r="H36" s="230"/>
      <c r="I36" s="231"/>
      <c r="J36" s="231"/>
      <c r="K36" s="231"/>
      <c r="L36" s="233"/>
    </row>
    <row r="37" spans="1:12" ht="15.75" thickBot="1" x14ac:dyDescent="0.3">
      <c r="A37" s="248"/>
      <c r="B37" s="240"/>
      <c r="C37" s="231"/>
      <c r="D37" s="230"/>
      <c r="E37" s="231"/>
      <c r="F37" s="230"/>
      <c r="G37" s="231"/>
      <c r="H37" s="230"/>
      <c r="I37" s="231"/>
      <c r="J37" s="231"/>
      <c r="K37" s="231"/>
      <c r="L37" s="233"/>
    </row>
    <row r="38" spans="1:12" x14ac:dyDescent="0.25">
      <c r="A38" s="249" t="s">
        <v>338</v>
      </c>
      <c r="B38" s="240"/>
      <c r="C38" s="231"/>
      <c r="D38" s="231"/>
      <c r="E38" s="231"/>
      <c r="F38" s="231"/>
      <c r="G38" s="231"/>
      <c r="H38" s="231"/>
      <c r="I38" s="231"/>
      <c r="J38" s="231"/>
      <c r="K38" s="231"/>
      <c r="L38" s="233"/>
    </row>
    <row r="39" spans="1:12" x14ac:dyDescent="0.25">
      <c r="A39" s="245"/>
      <c r="B39" s="240"/>
      <c r="C39" s="231"/>
      <c r="D39" s="231"/>
      <c r="E39" s="231"/>
      <c r="F39" s="231"/>
      <c r="G39" s="231"/>
      <c r="H39" s="231"/>
      <c r="I39" s="231"/>
      <c r="J39" s="231"/>
      <c r="K39" s="231"/>
      <c r="L39" s="233"/>
    </row>
    <row r="40" spans="1:12" x14ac:dyDescent="0.25">
      <c r="A40" s="245" t="s">
        <v>330</v>
      </c>
      <c r="B40" s="240"/>
      <c r="C40" s="231"/>
      <c r="D40" s="231"/>
      <c r="E40" s="231"/>
      <c r="F40" s="231"/>
      <c r="G40" s="231"/>
      <c r="H40" s="231"/>
      <c r="I40" s="231"/>
      <c r="J40" s="231">
        <f t="shared" ref="J40:J42" si="0">J22+J5</f>
        <v>0</v>
      </c>
      <c r="K40" s="231">
        <f t="shared" ref="K40:K45" si="1">K22+K5</f>
        <v>94310009</v>
      </c>
      <c r="L40" s="233"/>
    </row>
    <row r="41" spans="1:12" x14ac:dyDescent="0.25">
      <c r="A41" s="245" t="s">
        <v>331</v>
      </c>
      <c r="B41" s="240">
        <f>B23+B6</f>
        <v>35589683</v>
      </c>
      <c r="C41" s="231">
        <f>C23+C6</f>
        <v>34849029</v>
      </c>
      <c r="D41" s="231">
        <f>D23+D6</f>
        <v>34156072</v>
      </c>
      <c r="E41" s="231">
        <f>E23+E6</f>
        <v>33467810</v>
      </c>
      <c r="F41" s="231">
        <f>F23+F6</f>
        <v>32765975</v>
      </c>
      <c r="G41" s="231">
        <f t="shared" ref="G41" si="2">G23+G6</f>
        <v>31999225</v>
      </c>
      <c r="H41" s="231">
        <f>H23+H6</f>
        <v>31352366</v>
      </c>
      <c r="I41" s="231">
        <f>I23+I6</f>
        <v>30615213</v>
      </c>
      <c r="J41" s="231">
        <f t="shared" si="0"/>
        <v>29596922</v>
      </c>
      <c r="K41" s="231">
        <f t="shared" si="1"/>
        <v>28659225</v>
      </c>
      <c r="L41" s="233">
        <f>L23+L6</f>
        <v>23770951</v>
      </c>
    </row>
    <row r="42" spans="1:12" x14ac:dyDescent="0.25">
      <c r="A42" s="245" t="s">
        <v>334</v>
      </c>
      <c r="B42" s="240"/>
      <c r="C42" s="231"/>
      <c r="D42" s="231"/>
      <c r="E42" s="231"/>
      <c r="F42" s="231"/>
      <c r="G42" s="231"/>
      <c r="H42" s="231"/>
      <c r="I42" s="231"/>
      <c r="J42" s="231">
        <f t="shared" si="0"/>
        <v>28118332.36823</v>
      </c>
      <c r="K42" s="231">
        <f t="shared" si="1"/>
        <v>29033997.248779997</v>
      </c>
      <c r="L42" s="233">
        <f>L24+L7</f>
        <v>26149597.681430001</v>
      </c>
    </row>
    <row r="43" spans="1:12" x14ac:dyDescent="0.25">
      <c r="A43" s="245" t="s">
        <v>332</v>
      </c>
      <c r="B43" s="240"/>
      <c r="C43" s="231"/>
      <c r="D43" s="231"/>
      <c r="E43" s="231"/>
      <c r="F43" s="231"/>
      <c r="G43" s="231"/>
      <c r="H43" s="231"/>
      <c r="I43" s="231"/>
      <c r="J43" s="231">
        <f t="shared" ref="J43" si="3">J25+J8</f>
        <v>0</v>
      </c>
      <c r="K43" s="231">
        <f t="shared" si="1"/>
        <v>46581657</v>
      </c>
      <c r="L43" s="233"/>
    </row>
    <row r="44" spans="1:12" x14ac:dyDescent="0.25">
      <c r="A44" s="245" t="s">
        <v>333</v>
      </c>
      <c r="B44" s="240"/>
      <c r="C44" s="231"/>
      <c r="D44" s="231"/>
      <c r="E44" s="231"/>
      <c r="F44" s="231"/>
      <c r="G44" s="231"/>
      <c r="H44" s="231"/>
      <c r="I44" s="231"/>
      <c r="J44" s="231">
        <f t="shared" ref="J44:J53" si="4">J26+J9</f>
        <v>0</v>
      </c>
      <c r="K44" s="231">
        <f t="shared" si="1"/>
        <v>140891666</v>
      </c>
      <c r="L44" s="233"/>
    </row>
    <row r="45" spans="1:12" x14ac:dyDescent="0.25">
      <c r="A45" s="245"/>
      <c r="B45" s="240"/>
      <c r="C45" s="231"/>
      <c r="D45" s="231"/>
      <c r="E45" s="231"/>
      <c r="F45" s="231"/>
      <c r="G45" s="231"/>
      <c r="H45" s="231"/>
      <c r="I45" s="231"/>
      <c r="J45" s="231">
        <f t="shared" si="4"/>
        <v>0</v>
      </c>
      <c r="K45" s="231">
        <f t="shared" si="1"/>
        <v>0</v>
      </c>
      <c r="L45" s="233"/>
    </row>
    <row r="46" spans="1:12" x14ac:dyDescent="0.25">
      <c r="A46" s="246" t="s">
        <v>99</v>
      </c>
      <c r="B46" s="240"/>
      <c r="C46" s="231"/>
      <c r="D46" s="231"/>
      <c r="E46" s="231"/>
      <c r="F46" s="231"/>
      <c r="G46" s="231"/>
      <c r="H46" s="231"/>
      <c r="I46" s="231"/>
      <c r="J46" s="231">
        <f t="shared" si="4"/>
        <v>0</v>
      </c>
      <c r="K46" s="231">
        <f>K28+K11</f>
        <v>0</v>
      </c>
      <c r="L46" s="233"/>
    </row>
    <row r="47" spans="1:12" x14ac:dyDescent="0.25">
      <c r="A47" s="247" t="s">
        <v>335</v>
      </c>
      <c r="B47" s="240"/>
      <c r="C47" s="231"/>
      <c r="D47" s="231"/>
      <c r="E47" s="231"/>
      <c r="F47" s="231"/>
      <c r="G47" s="231"/>
      <c r="H47" s="231"/>
      <c r="I47" s="231"/>
      <c r="J47" s="231">
        <f t="shared" si="4"/>
        <v>0</v>
      </c>
      <c r="K47" s="231">
        <f>K29+K12</f>
        <v>0</v>
      </c>
      <c r="L47" s="233"/>
    </row>
    <row r="48" spans="1:12" x14ac:dyDescent="0.25">
      <c r="A48" s="245" t="s">
        <v>319</v>
      </c>
      <c r="B48" s="240"/>
      <c r="C48" s="231"/>
      <c r="D48" s="231"/>
      <c r="E48" s="231"/>
      <c r="F48" s="231"/>
      <c r="G48" s="231"/>
      <c r="H48" s="231"/>
      <c r="I48" s="231"/>
      <c r="J48" s="231">
        <f t="shared" si="4"/>
        <v>1032709</v>
      </c>
      <c r="K48" s="231">
        <f>K30+K13</f>
        <v>928143</v>
      </c>
      <c r="L48" s="233">
        <f>L30+L13</f>
        <v>4957581</v>
      </c>
    </row>
    <row r="49" spans="1:12" x14ac:dyDescent="0.25">
      <c r="A49" s="245" t="s">
        <v>336</v>
      </c>
      <c r="B49" s="240"/>
      <c r="C49" s="231"/>
      <c r="D49" s="231"/>
      <c r="E49" s="231"/>
      <c r="F49" s="231"/>
      <c r="G49" s="231"/>
      <c r="H49" s="231"/>
      <c r="I49" s="231"/>
      <c r="J49" s="231">
        <f t="shared" si="4"/>
        <v>1338633</v>
      </c>
      <c r="K49" s="231">
        <f>K31+K14</f>
        <v>1250257</v>
      </c>
      <c r="L49" s="233">
        <f t="shared" ref="L49" si="5">L31+L14</f>
        <v>6810330</v>
      </c>
    </row>
    <row r="50" spans="1:12" x14ac:dyDescent="0.25">
      <c r="A50" s="247" t="s">
        <v>95</v>
      </c>
      <c r="B50" s="240"/>
      <c r="C50" s="231"/>
      <c r="D50" s="231"/>
      <c r="E50" s="231"/>
      <c r="F50" s="231"/>
      <c r="G50" s="231"/>
      <c r="H50" s="231"/>
      <c r="I50" s="231"/>
      <c r="J50" s="231">
        <f t="shared" si="4"/>
        <v>0</v>
      </c>
      <c r="K50" s="231">
        <f>K32+K15</f>
        <v>0</v>
      </c>
      <c r="L50" s="233"/>
    </row>
    <row r="51" spans="1:12" x14ac:dyDescent="0.25">
      <c r="A51" s="245" t="s">
        <v>319</v>
      </c>
      <c r="B51" s="240"/>
      <c r="C51" s="231"/>
      <c r="D51" s="231"/>
      <c r="E51" s="231"/>
      <c r="F51" s="231"/>
      <c r="G51" s="231"/>
      <c r="H51" s="231"/>
      <c r="I51" s="231"/>
      <c r="J51" s="231">
        <f t="shared" si="4"/>
        <v>13280236</v>
      </c>
      <c r="K51" s="231">
        <f>K33+K16</f>
        <v>12960552</v>
      </c>
      <c r="L51" s="233">
        <f>L33+L16</f>
        <v>10618949</v>
      </c>
    </row>
    <row r="52" spans="1:12" x14ac:dyDescent="0.25">
      <c r="A52" s="245" t="s">
        <v>336</v>
      </c>
      <c r="B52" s="240"/>
      <c r="C52" s="231"/>
      <c r="D52" s="231"/>
      <c r="E52" s="231"/>
      <c r="F52" s="231"/>
      <c r="G52" s="231"/>
      <c r="H52" s="231"/>
      <c r="I52" s="231"/>
      <c r="J52" s="231">
        <f t="shared" si="4"/>
        <v>614941</v>
      </c>
      <c r="K52" s="231">
        <f>K34+K17</f>
        <v>682559</v>
      </c>
      <c r="L52" s="233">
        <f t="shared" ref="L52" si="6">L34+L17</f>
        <v>542361</v>
      </c>
    </row>
    <row r="53" spans="1:12" ht="15.75" thickBot="1" x14ac:dyDescent="0.3">
      <c r="A53" s="250" t="s">
        <v>337</v>
      </c>
      <c r="B53" s="243"/>
      <c r="C53" s="234"/>
      <c r="D53" s="234"/>
      <c r="E53" s="234"/>
      <c r="F53" s="234"/>
      <c r="G53" s="234"/>
      <c r="H53" s="234"/>
      <c r="I53" s="234"/>
      <c r="J53" s="234">
        <f t="shared" si="4"/>
        <v>1953574</v>
      </c>
      <c r="K53" s="234">
        <f>K35+K18</f>
        <v>1932816</v>
      </c>
      <c r="L53" s="235">
        <f t="shared" ref="L53" si="7">L35+L18</f>
        <v>7352691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L10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7" sqref="J97"/>
    </sheetView>
  </sheetViews>
  <sheetFormatPr defaultRowHeight="15" x14ac:dyDescent="0.25"/>
  <cols>
    <col min="1" max="1" width="46.42578125" style="12" customWidth="1"/>
    <col min="2" max="9" width="16.85546875" style="12" customWidth="1"/>
    <col min="10" max="16384" width="9.140625" style="12"/>
  </cols>
  <sheetData>
    <row r="2" spans="1:12" x14ac:dyDescent="0.25">
      <c r="A2" s="221" t="s">
        <v>243</v>
      </c>
      <c r="B2" s="222" t="s">
        <v>237</v>
      </c>
      <c r="C2" s="222"/>
      <c r="D2" s="222"/>
      <c r="E2" s="222"/>
      <c r="F2" s="222" t="s">
        <v>240</v>
      </c>
      <c r="G2" s="222"/>
      <c r="H2" s="222"/>
      <c r="I2" s="222" t="s">
        <v>8</v>
      </c>
    </row>
    <row r="3" spans="1:12" ht="45" x14ac:dyDescent="0.25">
      <c r="A3" s="221"/>
      <c r="B3" s="223" t="s">
        <v>128</v>
      </c>
      <c r="C3" s="223" t="s">
        <v>238</v>
      </c>
      <c r="D3" s="223" t="s">
        <v>239</v>
      </c>
      <c r="E3" s="223" t="s">
        <v>130</v>
      </c>
      <c r="F3" s="223" t="s">
        <v>113</v>
      </c>
      <c r="G3" s="223" t="s">
        <v>241</v>
      </c>
      <c r="H3" s="223" t="s">
        <v>242</v>
      </c>
      <c r="I3" s="222"/>
    </row>
    <row r="4" spans="1:12" ht="15.75" customHeight="1" x14ac:dyDescent="0.25">
      <c r="A4" s="101" t="s">
        <v>398</v>
      </c>
      <c r="B4" s="33">
        <v>29581807</v>
      </c>
      <c r="C4" s="33">
        <v>69813</v>
      </c>
      <c r="D4" s="33">
        <v>889549</v>
      </c>
      <c r="E4" s="33">
        <v>889549</v>
      </c>
      <c r="F4" s="33">
        <v>1275112</v>
      </c>
      <c r="G4" s="33">
        <v>853605</v>
      </c>
      <c r="H4" s="33">
        <v>427662</v>
      </c>
      <c r="I4" s="33">
        <v>33987097</v>
      </c>
      <c r="J4" s="224"/>
      <c r="L4" s="224"/>
    </row>
    <row r="5" spans="1:12" ht="15.75" customHeight="1" x14ac:dyDescent="0.25">
      <c r="A5" s="52" t="s">
        <v>226</v>
      </c>
      <c r="B5" s="53">
        <v>1848911</v>
      </c>
      <c r="C5" s="54">
        <v>-69813</v>
      </c>
      <c r="D5" s="53">
        <v>-889549</v>
      </c>
      <c r="E5" s="53">
        <v>-889549</v>
      </c>
      <c r="F5" s="54" t="s">
        <v>344</v>
      </c>
      <c r="G5" s="54" t="s">
        <v>344</v>
      </c>
      <c r="H5" s="54" t="s">
        <v>344</v>
      </c>
      <c r="I5" s="53" t="s">
        <v>344</v>
      </c>
      <c r="J5" s="218"/>
      <c r="L5" s="218"/>
    </row>
    <row r="6" spans="1:12" ht="15.75" customHeight="1" x14ac:dyDescent="0.25">
      <c r="A6" s="52" t="s">
        <v>227</v>
      </c>
      <c r="B6" s="53">
        <v>-842367</v>
      </c>
      <c r="C6" s="54" t="s">
        <v>344</v>
      </c>
      <c r="D6" s="54" t="s">
        <v>344</v>
      </c>
      <c r="E6" s="54" t="s">
        <v>344</v>
      </c>
      <c r="F6" s="54" t="s">
        <v>344</v>
      </c>
      <c r="G6" s="54" t="s">
        <v>344</v>
      </c>
      <c r="H6" s="54" t="s">
        <v>344</v>
      </c>
      <c r="I6" s="53">
        <v>-842367</v>
      </c>
      <c r="J6" s="218"/>
      <c r="L6" s="217"/>
    </row>
    <row r="7" spans="1:12" ht="15.75" customHeight="1" x14ac:dyDescent="0.25">
      <c r="A7" s="52" t="s">
        <v>228</v>
      </c>
      <c r="B7" s="53">
        <v>-826986</v>
      </c>
      <c r="C7" s="54" t="s">
        <v>344</v>
      </c>
      <c r="D7" s="54" t="s">
        <v>344</v>
      </c>
      <c r="E7" s="54" t="s">
        <v>344</v>
      </c>
      <c r="F7" s="54" t="s">
        <v>344</v>
      </c>
      <c r="G7" s="54" t="s">
        <v>344</v>
      </c>
      <c r="H7" s="54" t="s">
        <v>344</v>
      </c>
      <c r="I7" s="53">
        <v>-826986</v>
      </c>
      <c r="J7" s="218"/>
      <c r="L7" s="217"/>
    </row>
    <row r="8" spans="1:12" ht="15.75" customHeight="1" x14ac:dyDescent="0.25">
      <c r="A8" s="52" t="s">
        <v>244</v>
      </c>
      <c r="B8" s="54" t="s">
        <v>344</v>
      </c>
      <c r="C8" s="54" t="s">
        <v>344</v>
      </c>
      <c r="D8" s="53">
        <v>922951</v>
      </c>
      <c r="E8" s="54" t="s">
        <v>344</v>
      </c>
      <c r="F8" s="54" t="s">
        <v>344</v>
      </c>
      <c r="G8" s="54" t="s">
        <v>344</v>
      </c>
      <c r="H8" s="54" t="s">
        <v>344</v>
      </c>
      <c r="I8" s="53">
        <v>922951</v>
      </c>
      <c r="J8" s="218"/>
      <c r="L8" s="217"/>
    </row>
    <row r="9" spans="1:12" ht="15.75" customHeight="1" x14ac:dyDescent="0.25">
      <c r="A9" s="52" t="s">
        <v>231</v>
      </c>
      <c r="B9" s="53">
        <v>1001086</v>
      </c>
      <c r="C9" s="54" t="s">
        <v>344</v>
      </c>
      <c r="D9" s="54" t="s">
        <v>344</v>
      </c>
      <c r="E9" s="54" t="s">
        <v>344</v>
      </c>
      <c r="F9" s="53">
        <v>-1001086</v>
      </c>
      <c r="G9" s="54" t="s">
        <v>344</v>
      </c>
      <c r="H9" s="54" t="s">
        <v>344</v>
      </c>
      <c r="I9" s="53" t="s">
        <v>344</v>
      </c>
      <c r="J9" s="218"/>
      <c r="L9" s="218"/>
    </row>
    <row r="10" spans="1:12" ht="15.75" customHeight="1" x14ac:dyDescent="0.25">
      <c r="A10" s="52" t="s">
        <v>232</v>
      </c>
      <c r="B10" s="53">
        <v>-495</v>
      </c>
      <c r="C10" s="54" t="s">
        <v>344</v>
      </c>
      <c r="D10" s="54" t="s">
        <v>344</v>
      </c>
      <c r="E10" s="54" t="s">
        <v>344</v>
      </c>
      <c r="F10" s="53">
        <v>495</v>
      </c>
      <c r="G10" s="54" t="s">
        <v>344</v>
      </c>
      <c r="H10" s="54" t="s">
        <v>344</v>
      </c>
      <c r="I10" s="53" t="s">
        <v>344</v>
      </c>
      <c r="J10" s="218"/>
      <c r="L10" s="218"/>
    </row>
    <row r="11" spans="1:12" ht="15.75" customHeight="1" x14ac:dyDescent="0.25">
      <c r="A11" s="52" t="s">
        <v>233</v>
      </c>
      <c r="B11" s="53">
        <v>3103</v>
      </c>
      <c r="C11" s="54" t="s">
        <v>344</v>
      </c>
      <c r="D11" s="54" t="s">
        <v>344</v>
      </c>
      <c r="E11" s="54" t="s">
        <v>344</v>
      </c>
      <c r="F11" s="54">
        <v>-21</v>
      </c>
      <c r="G11" s="54" t="s">
        <v>344</v>
      </c>
      <c r="H11" s="54" t="s">
        <v>344</v>
      </c>
      <c r="I11" s="53">
        <v>3082</v>
      </c>
      <c r="J11" s="218"/>
      <c r="L11" s="217"/>
    </row>
    <row r="12" spans="1:12" ht="15.75" customHeight="1" x14ac:dyDescent="0.25">
      <c r="A12" s="52" t="s">
        <v>234</v>
      </c>
      <c r="B12" s="54" t="s">
        <v>344</v>
      </c>
      <c r="C12" s="54"/>
      <c r="D12" s="54"/>
      <c r="E12" s="53">
        <v>922951</v>
      </c>
      <c r="F12" s="54">
        <v>1847294</v>
      </c>
      <c r="G12" s="53">
        <v>-72199</v>
      </c>
      <c r="H12" s="53">
        <v>23831</v>
      </c>
      <c r="I12" s="53">
        <v>2721877</v>
      </c>
    </row>
    <row r="13" spans="1:12" x14ac:dyDescent="0.25">
      <c r="A13" s="101" t="s">
        <v>307</v>
      </c>
      <c r="B13" s="33">
        <f>30765059/1000</f>
        <v>30765.059000000001</v>
      </c>
      <c r="C13" s="33" t="s">
        <v>46</v>
      </c>
      <c r="D13" s="33">
        <f>922951/1000</f>
        <v>922.95100000000002</v>
      </c>
      <c r="E13" s="33">
        <f>922951/1000</f>
        <v>922.95100000000002</v>
      </c>
      <c r="F13" s="33">
        <f>2121794/1000</f>
        <v>2121.7939999999999</v>
      </c>
      <c r="G13" s="33">
        <f>781406/1000</f>
        <v>781.40599999999995</v>
      </c>
      <c r="H13" s="33">
        <f>451493/1000</f>
        <v>451.49299999999999</v>
      </c>
      <c r="I13" s="33">
        <f>SUM(B13:H13)</f>
        <v>35965.65400000001</v>
      </c>
    </row>
    <row r="14" spans="1:12" x14ac:dyDescent="0.25">
      <c r="A14" s="52" t="s">
        <v>226</v>
      </c>
      <c r="B14" s="53">
        <f>1845902/1000</f>
        <v>1845.902</v>
      </c>
      <c r="C14" s="54" t="s">
        <v>46</v>
      </c>
      <c r="D14" s="53">
        <f>-922951/1000</f>
        <v>-922.95100000000002</v>
      </c>
      <c r="E14" s="53">
        <f>-922951/1000</f>
        <v>-922.95100000000002</v>
      </c>
      <c r="F14" s="54" t="s">
        <v>46</v>
      </c>
      <c r="G14" s="54" t="s">
        <v>46</v>
      </c>
      <c r="H14" s="54" t="s">
        <v>46</v>
      </c>
      <c r="I14" s="53">
        <f>SUM(B14:H14)</f>
        <v>0</v>
      </c>
    </row>
    <row r="15" spans="1:12" x14ac:dyDescent="0.25">
      <c r="A15" s="52" t="s">
        <v>227</v>
      </c>
      <c r="B15" s="53">
        <f>-852724/1000</f>
        <v>-852.72400000000005</v>
      </c>
      <c r="C15" s="54" t="s">
        <v>46</v>
      </c>
      <c r="D15" s="54" t="s">
        <v>46</v>
      </c>
      <c r="E15" s="54" t="s">
        <v>46</v>
      </c>
      <c r="F15" s="54" t="s">
        <v>46</v>
      </c>
      <c r="G15" s="54" t="s">
        <v>46</v>
      </c>
      <c r="H15" s="54" t="s">
        <v>46</v>
      </c>
      <c r="I15" s="53">
        <f t="shared" ref="I15:I21" si="0">SUM(B15:H15)</f>
        <v>-852.72400000000005</v>
      </c>
    </row>
    <row r="16" spans="1:12" x14ac:dyDescent="0.25">
      <c r="A16" s="52" t="s">
        <v>228</v>
      </c>
      <c r="B16" s="53">
        <f>-818250/1000</f>
        <v>-818.25</v>
      </c>
      <c r="C16" s="54" t="s">
        <v>46</v>
      </c>
      <c r="D16" s="54" t="s">
        <v>46</v>
      </c>
      <c r="E16" s="54" t="s">
        <v>46</v>
      </c>
      <c r="F16" s="54" t="s">
        <v>46</v>
      </c>
      <c r="G16" s="54" t="s">
        <v>46</v>
      </c>
      <c r="H16" s="54" t="s">
        <v>46</v>
      </c>
      <c r="I16" s="53">
        <f t="shared" si="0"/>
        <v>-818.25</v>
      </c>
    </row>
    <row r="17" spans="1:9" x14ac:dyDescent="0.25">
      <c r="A17" s="52" t="s">
        <v>244</v>
      </c>
      <c r="B17" s="54" t="s">
        <v>46</v>
      </c>
      <c r="C17" s="54" t="s">
        <v>46</v>
      </c>
      <c r="D17" s="53">
        <f>950470/1000</f>
        <v>950.47</v>
      </c>
      <c r="E17" s="54" t="s">
        <v>46</v>
      </c>
      <c r="F17" s="54" t="s">
        <v>46</v>
      </c>
      <c r="G17" s="54" t="s">
        <v>46</v>
      </c>
      <c r="H17" s="54" t="s">
        <v>46</v>
      </c>
      <c r="I17" s="53">
        <f t="shared" si="0"/>
        <v>950.47</v>
      </c>
    </row>
    <row r="18" spans="1:9" x14ac:dyDescent="0.25">
      <c r="A18" s="52" t="s">
        <v>231</v>
      </c>
      <c r="B18" s="53">
        <f>745819/1000</f>
        <v>745.81899999999996</v>
      </c>
      <c r="C18" s="54" t="s">
        <v>46</v>
      </c>
      <c r="D18" s="54" t="s">
        <v>46</v>
      </c>
      <c r="E18" s="54" t="s">
        <v>46</v>
      </c>
      <c r="F18" s="53">
        <f>-745819/1000</f>
        <v>-745.81899999999996</v>
      </c>
      <c r="G18" s="54" t="s">
        <v>46</v>
      </c>
      <c r="H18" s="54" t="s">
        <v>46</v>
      </c>
      <c r="I18" s="53">
        <f t="shared" si="0"/>
        <v>0</v>
      </c>
    </row>
    <row r="19" spans="1:9" x14ac:dyDescent="0.25">
      <c r="A19" s="52" t="s">
        <v>232</v>
      </c>
      <c r="B19" s="53">
        <f>-426/1000</f>
        <v>-0.42599999999999999</v>
      </c>
      <c r="C19" s="54" t="s">
        <v>46</v>
      </c>
      <c r="D19" s="54" t="s">
        <v>46</v>
      </c>
      <c r="E19" s="54" t="s">
        <v>46</v>
      </c>
      <c r="F19" s="53">
        <f>421/1000</f>
        <v>0.42099999999999999</v>
      </c>
      <c r="G19" s="54" t="s">
        <v>46</v>
      </c>
      <c r="H19" s="54" t="s">
        <v>46</v>
      </c>
      <c r="I19" s="53">
        <f t="shared" si="0"/>
        <v>-5.0000000000000044E-3</v>
      </c>
    </row>
    <row r="20" spans="1:9" x14ac:dyDescent="0.25">
      <c r="A20" s="52" t="s">
        <v>233</v>
      </c>
      <c r="B20" s="53">
        <f>1525/1000</f>
        <v>1.5249999999999999</v>
      </c>
      <c r="C20" s="54" t="s">
        <v>46</v>
      </c>
      <c r="D20" s="54" t="s">
        <v>46</v>
      </c>
      <c r="E20" s="54" t="s">
        <v>46</v>
      </c>
      <c r="F20" s="54">
        <f>-82/1000</f>
        <v>-8.2000000000000003E-2</v>
      </c>
      <c r="G20" s="54" t="s">
        <v>46</v>
      </c>
      <c r="H20" s="54" t="s">
        <v>46</v>
      </c>
      <c r="I20" s="53">
        <f t="shared" si="0"/>
        <v>1.4429999999999998</v>
      </c>
    </row>
    <row r="21" spans="1:9" x14ac:dyDescent="0.25">
      <c r="A21" s="52" t="s">
        <v>234</v>
      </c>
      <c r="B21" s="54" t="s">
        <v>46</v>
      </c>
      <c r="C21" s="54" t="s">
        <v>46</v>
      </c>
      <c r="D21" s="54" t="s">
        <v>46</v>
      </c>
      <c r="E21" s="53">
        <f>950470/1000</f>
        <v>950.47</v>
      </c>
      <c r="F21" s="54">
        <f>121054/1000</f>
        <v>121.054</v>
      </c>
      <c r="G21" s="53">
        <f>11896/1000</f>
        <v>11.896000000000001</v>
      </c>
      <c r="H21" s="53">
        <f>-249937/1000</f>
        <v>-249.93700000000001</v>
      </c>
      <c r="I21" s="53">
        <f t="shared" si="0"/>
        <v>833.48300000000006</v>
      </c>
    </row>
    <row r="22" spans="1:9" ht="15.75" thickBot="1" x14ac:dyDescent="0.3">
      <c r="A22" s="101" t="s">
        <v>292</v>
      </c>
      <c r="B22" s="33">
        <f t="shared" ref="B22" si="1">SUM(B13:B21)</f>
        <v>31686.905000000006</v>
      </c>
      <c r="C22" s="33">
        <f t="shared" ref="C22" si="2">SUM(C13:C21)</f>
        <v>0</v>
      </c>
      <c r="D22" s="33">
        <f t="shared" ref="D22" si="3">SUM(D13:D21)</f>
        <v>950.47</v>
      </c>
      <c r="E22" s="33">
        <f t="shared" ref="E22" si="4">SUM(E13:E21)</f>
        <v>950.47</v>
      </c>
      <c r="F22" s="33">
        <f t="shared" ref="F22" si="5">SUM(F13:F21)</f>
        <v>1497.3679999999999</v>
      </c>
      <c r="G22" s="33">
        <f t="shared" ref="G22" si="6">SUM(G13:G21)</f>
        <v>793.30199999999991</v>
      </c>
      <c r="H22" s="33">
        <f t="shared" ref="H22" si="7">SUM(H13:H21)</f>
        <v>201.55599999999998</v>
      </c>
      <c r="I22" s="33">
        <f t="shared" ref="I22" si="8">SUM(I13:I21)</f>
        <v>36080.071000000011</v>
      </c>
    </row>
    <row r="23" spans="1:9" ht="15.75" thickBot="1" x14ac:dyDescent="0.3">
      <c r="A23" s="225" t="s">
        <v>235</v>
      </c>
      <c r="B23" s="226">
        <f t="shared" ref="B23" si="9">SUM(B22)-SUM(B13)</f>
        <v>921.84600000000501</v>
      </c>
      <c r="C23" s="226">
        <f t="shared" ref="C23" si="10">SUM(C22)-SUM(C13)</f>
        <v>0</v>
      </c>
      <c r="D23" s="226">
        <f t="shared" ref="D23" si="11">SUM(D22)-SUM(D13)</f>
        <v>27.519000000000005</v>
      </c>
      <c r="E23" s="226">
        <f t="shared" ref="E23" si="12">SUM(E22)-SUM(E13)</f>
        <v>27.519000000000005</v>
      </c>
      <c r="F23" s="226">
        <f t="shared" ref="F23" si="13">SUM(F22)-SUM(F13)</f>
        <v>-624.42599999999993</v>
      </c>
      <c r="G23" s="226">
        <f t="shared" ref="G23" si="14">SUM(G22)-SUM(G13)</f>
        <v>11.895999999999958</v>
      </c>
      <c r="H23" s="226">
        <f t="shared" ref="H23" si="15">SUM(H22)-SUM(H13)</f>
        <v>-249.93700000000001</v>
      </c>
      <c r="I23" s="226">
        <f t="shared" ref="I23" si="16">SUM(I22)-SUM(I13)</f>
        <v>114.41700000000128</v>
      </c>
    </row>
    <row r="24" spans="1:9" x14ac:dyDescent="0.25">
      <c r="A24" s="101" t="s">
        <v>292</v>
      </c>
      <c r="B24" s="33">
        <f>B22</f>
        <v>31686.905000000006</v>
      </c>
      <c r="C24" s="33">
        <f t="shared" ref="C24:I24" si="17">C22</f>
        <v>0</v>
      </c>
      <c r="D24" s="33">
        <f t="shared" si="17"/>
        <v>950.47</v>
      </c>
      <c r="E24" s="33">
        <f t="shared" si="17"/>
        <v>950.47</v>
      </c>
      <c r="F24" s="33">
        <f t="shared" si="17"/>
        <v>1497.3679999999999</v>
      </c>
      <c r="G24" s="33">
        <f t="shared" si="17"/>
        <v>793.30199999999991</v>
      </c>
      <c r="H24" s="33">
        <f t="shared" si="17"/>
        <v>201.55599999999998</v>
      </c>
      <c r="I24" s="33">
        <f t="shared" si="17"/>
        <v>36080.071000000011</v>
      </c>
    </row>
    <row r="25" spans="1:9" x14ac:dyDescent="0.25">
      <c r="A25" s="52" t="s">
        <v>226</v>
      </c>
      <c r="B25" s="53">
        <f>1900940/1000</f>
        <v>1900.94</v>
      </c>
      <c r="C25" s="54" t="s">
        <v>46</v>
      </c>
      <c r="D25" s="53">
        <f>-950470/1000</f>
        <v>-950.47</v>
      </c>
      <c r="E25" s="53">
        <f>-950470/1000</f>
        <v>-950.47</v>
      </c>
      <c r="F25" s="54" t="s">
        <v>46</v>
      </c>
      <c r="G25" s="54" t="s">
        <v>46</v>
      </c>
      <c r="H25" s="54" t="s">
        <v>46</v>
      </c>
      <c r="I25" s="53">
        <f>SUM(B25:H25)</f>
        <v>0</v>
      </c>
    </row>
    <row r="26" spans="1:9" x14ac:dyDescent="0.25">
      <c r="A26" s="52" t="s">
        <v>227</v>
      </c>
      <c r="B26" s="53">
        <f>-881347/1000</f>
        <v>-881.34699999999998</v>
      </c>
      <c r="C26" s="54" t="s">
        <v>46</v>
      </c>
      <c r="D26" s="54" t="s">
        <v>46</v>
      </c>
      <c r="E26" s="54" t="s">
        <v>46</v>
      </c>
      <c r="F26" s="54" t="s">
        <v>46</v>
      </c>
      <c r="G26" s="54" t="s">
        <v>46</v>
      </c>
      <c r="H26" s="54" t="s">
        <v>46</v>
      </c>
      <c r="I26" s="53">
        <f t="shared" ref="I26:I32" si="18">SUM(B26:H26)</f>
        <v>-881.34699999999998</v>
      </c>
    </row>
    <row r="27" spans="1:9" x14ac:dyDescent="0.25">
      <c r="A27" s="52" t="s">
        <v>228</v>
      </c>
      <c r="B27" s="53">
        <f>-810569/1000</f>
        <v>-810.56899999999996</v>
      </c>
      <c r="C27" s="54" t="s">
        <v>46</v>
      </c>
      <c r="D27" s="54" t="s">
        <v>46</v>
      </c>
      <c r="E27" s="54" t="s">
        <v>46</v>
      </c>
      <c r="F27" s="54" t="s">
        <v>46</v>
      </c>
      <c r="G27" s="54" t="s">
        <v>46</v>
      </c>
      <c r="H27" s="54" t="s">
        <v>46</v>
      </c>
      <c r="I27" s="53">
        <f t="shared" si="18"/>
        <v>-810.56899999999996</v>
      </c>
    </row>
    <row r="28" spans="1:9" x14ac:dyDescent="0.25">
      <c r="A28" s="52" t="s">
        <v>244</v>
      </c>
      <c r="B28" s="54" t="s">
        <v>46</v>
      </c>
      <c r="C28" s="54" t="s">
        <v>46</v>
      </c>
      <c r="D28" s="53">
        <f>968471/1000</f>
        <v>968.471</v>
      </c>
      <c r="E28" s="54" t="s">
        <v>46</v>
      </c>
      <c r="F28" s="54" t="s">
        <v>46</v>
      </c>
      <c r="G28" s="54" t="s">
        <v>46</v>
      </c>
      <c r="H28" s="54" t="s">
        <v>46</v>
      </c>
      <c r="I28" s="53">
        <f t="shared" si="18"/>
        <v>968.471</v>
      </c>
    </row>
    <row r="29" spans="1:9" x14ac:dyDescent="0.25">
      <c r="A29" s="52" t="s">
        <v>231</v>
      </c>
      <c r="B29" s="53">
        <f>384838/1000</f>
        <v>384.83800000000002</v>
      </c>
      <c r="C29" s="54" t="s">
        <v>46</v>
      </c>
      <c r="D29" s="54" t="s">
        <v>46</v>
      </c>
      <c r="E29" s="54" t="s">
        <v>46</v>
      </c>
      <c r="F29" s="53">
        <f>-384838/1000</f>
        <v>-384.83800000000002</v>
      </c>
      <c r="G29" s="54" t="s">
        <v>46</v>
      </c>
      <c r="H29" s="54" t="s">
        <v>46</v>
      </c>
      <c r="I29" s="53">
        <f t="shared" si="18"/>
        <v>0</v>
      </c>
    </row>
    <row r="30" spans="1:9" x14ac:dyDescent="0.25">
      <c r="A30" s="52" t="s">
        <v>232</v>
      </c>
      <c r="B30" s="53">
        <f>-37/1000</f>
        <v>-3.6999999999999998E-2</v>
      </c>
      <c r="C30" s="54" t="s">
        <v>46</v>
      </c>
      <c r="D30" s="54" t="s">
        <v>46</v>
      </c>
      <c r="E30" s="54" t="s">
        <v>46</v>
      </c>
      <c r="F30" s="53">
        <f>22/1000</f>
        <v>2.1999999999999999E-2</v>
      </c>
      <c r="G30" s="54" t="s">
        <v>46</v>
      </c>
      <c r="H30" s="54" t="s">
        <v>46</v>
      </c>
      <c r="I30" s="53">
        <f t="shared" si="18"/>
        <v>-1.4999999999999999E-2</v>
      </c>
    </row>
    <row r="31" spans="1:9" x14ac:dyDescent="0.25">
      <c r="A31" s="52" t="s">
        <v>233</v>
      </c>
      <c r="B31" s="53">
        <f>1646/1000</f>
        <v>1.6459999999999999</v>
      </c>
      <c r="C31" s="54" t="s">
        <v>46</v>
      </c>
      <c r="D31" s="54" t="s">
        <v>46</v>
      </c>
      <c r="E31" s="54" t="s">
        <v>46</v>
      </c>
      <c r="F31" s="54">
        <f>-56/1000</f>
        <v>-5.6000000000000001E-2</v>
      </c>
      <c r="G31" s="54" t="s">
        <v>46</v>
      </c>
      <c r="H31" s="54" t="s">
        <v>46</v>
      </c>
      <c r="I31" s="53">
        <f t="shared" si="18"/>
        <v>1.5899999999999999</v>
      </c>
    </row>
    <row r="32" spans="1:9" x14ac:dyDescent="0.25">
      <c r="A32" s="52" t="s">
        <v>234</v>
      </c>
      <c r="B32" s="54" t="s">
        <v>46</v>
      </c>
      <c r="C32" s="54" t="s">
        <v>46</v>
      </c>
      <c r="D32" s="54" t="s">
        <v>46</v>
      </c>
      <c r="E32" s="53">
        <f>765795/1000</f>
        <v>765.79499999999996</v>
      </c>
      <c r="F32" s="54">
        <f>399283/1000</f>
        <v>399.28300000000002</v>
      </c>
      <c r="G32" s="53">
        <f>16702/1000</f>
        <v>16.702000000000002</v>
      </c>
      <c r="H32" s="53">
        <f>3712/1000</f>
        <v>3.7120000000000002</v>
      </c>
      <c r="I32" s="53">
        <f t="shared" si="18"/>
        <v>1185.492</v>
      </c>
    </row>
    <row r="33" spans="1:9" ht="15.75" thickBot="1" x14ac:dyDescent="0.3">
      <c r="A33" s="101" t="s">
        <v>287</v>
      </c>
      <c r="B33" s="33">
        <f t="shared" ref="B33" si="19">SUM(B24:B32)</f>
        <v>32282.376000000007</v>
      </c>
      <c r="C33" s="33">
        <f t="shared" ref="C33" si="20">SUM(C24:C32)</f>
        <v>0</v>
      </c>
      <c r="D33" s="33">
        <f t="shared" ref="D33" si="21">SUM(D24:D32)</f>
        <v>968.471</v>
      </c>
      <c r="E33" s="33">
        <f t="shared" ref="E33" si="22">SUM(E24:E32)</f>
        <v>765.79499999999996</v>
      </c>
      <c r="F33" s="33">
        <f t="shared" ref="F33" si="23">SUM(F24:F32)</f>
        <v>1511.779</v>
      </c>
      <c r="G33" s="33">
        <f t="shared" ref="G33" si="24">SUM(G24:G32)</f>
        <v>810.00399999999991</v>
      </c>
      <c r="H33" s="33">
        <f t="shared" ref="H33" si="25">SUM(H24:H32)</f>
        <v>205.26799999999997</v>
      </c>
      <c r="I33" s="33">
        <f t="shared" ref="I33" si="26">SUM(I24:I32)</f>
        <v>36543.692999999999</v>
      </c>
    </row>
    <row r="34" spans="1:9" ht="15.75" thickBot="1" x14ac:dyDescent="0.3">
      <c r="A34" s="225" t="s">
        <v>235</v>
      </c>
      <c r="B34" s="226">
        <f t="shared" ref="B34" si="27">SUM(B33)-SUM(B24)</f>
        <v>595.47100000000137</v>
      </c>
      <c r="C34" s="226">
        <f t="shared" ref="C34" si="28">SUM(C33)-SUM(C24)</f>
        <v>0</v>
      </c>
      <c r="D34" s="226">
        <f t="shared" ref="D34" si="29">SUM(D33)-SUM(D24)</f>
        <v>18.000999999999976</v>
      </c>
      <c r="E34" s="226">
        <f t="shared" ref="E34" si="30">SUM(E33)-SUM(E24)</f>
        <v>-184.67500000000007</v>
      </c>
      <c r="F34" s="226">
        <f t="shared" ref="F34" si="31">SUM(F33)-SUM(F24)</f>
        <v>14.411000000000058</v>
      </c>
      <c r="G34" s="226">
        <f t="shared" ref="G34" si="32">SUM(G33)-SUM(G24)</f>
        <v>16.701999999999998</v>
      </c>
      <c r="H34" s="226">
        <f t="shared" ref="H34" si="33">SUM(H33)-SUM(H24)</f>
        <v>3.7119999999999891</v>
      </c>
      <c r="I34" s="226">
        <f t="shared" ref="I34" si="34">SUM(I33)-SUM(I24)</f>
        <v>463.62199999998847</v>
      </c>
    </row>
    <row r="35" spans="1:9" x14ac:dyDescent="0.25">
      <c r="A35" s="101" t="s">
        <v>287</v>
      </c>
      <c r="B35" s="33">
        <f>B33</f>
        <v>32282.376000000007</v>
      </c>
      <c r="C35" s="33">
        <f t="shared" ref="C35:I35" si="35">C33</f>
        <v>0</v>
      </c>
      <c r="D35" s="33">
        <f t="shared" si="35"/>
        <v>968.471</v>
      </c>
      <c r="E35" s="33">
        <f t="shared" si="35"/>
        <v>765.79499999999996</v>
      </c>
      <c r="F35" s="33">
        <f t="shared" si="35"/>
        <v>1511.779</v>
      </c>
      <c r="G35" s="33">
        <f t="shared" si="35"/>
        <v>810.00399999999991</v>
      </c>
      <c r="H35" s="33">
        <f t="shared" si="35"/>
        <v>205.26799999999997</v>
      </c>
      <c r="I35" s="33">
        <f t="shared" si="35"/>
        <v>36543.692999999999</v>
      </c>
    </row>
    <row r="36" spans="1:9" x14ac:dyDescent="0.25">
      <c r="A36" s="52" t="s">
        <v>226</v>
      </c>
      <c r="B36" s="53">
        <f>1936942/1000</f>
        <v>1936.942</v>
      </c>
      <c r="C36" s="54" t="s">
        <v>46</v>
      </c>
      <c r="D36" s="53">
        <f>-968471/1000</f>
        <v>-968.471</v>
      </c>
      <c r="E36" s="53">
        <f>-968471/1000</f>
        <v>-968.471</v>
      </c>
      <c r="F36" s="54" t="s">
        <v>46</v>
      </c>
      <c r="G36" s="54" t="s">
        <v>46</v>
      </c>
      <c r="H36" s="54" t="s">
        <v>46</v>
      </c>
      <c r="I36" s="53">
        <f>SUM(B36:H36)</f>
        <v>0</v>
      </c>
    </row>
    <row r="37" spans="1:9" x14ac:dyDescent="0.25">
      <c r="A37" s="52" t="s">
        <v>227</v>
      </c>
      <c r="B37" s="53">
        <f>-882403/1000</f>
        <v>-882.40300000000002</v>
      </c>
      <c r="C37" s="54" t="s">
        <v>46</v>
      </c>
      <c r="D37" s="54" t="s">
        <v>46</v>
      </c>
      <c r="E37" s="54" t="s">
        <v>46</v>
      </c>
      <c r="F37" s="54" t="s">
        <v>46</v>
      </c>
      <c r="G37" s="54" t="s">
        <v>46</v>
      </c>
      <c r="H37" s="54" t="s">
        <v>46</v>
      </c>
      <c r="I37" s="53">
        <f t="shared" ref="I37:I43" si="36">SUM(B37:H37)</f>
        <v>-882.40300000000002</v>
      </c>
    </row>
    <row r="38" spans="1:9" x14ac:dyDescent="0.25">
      <c r="A38" s="52" t="s">
        <v>228</v>
      </c>
      <c r="B38" s="53">
        <f>-801472/1000</f>
        <v>-801.47199999999998</v>
      </c>
      <c r="C38" s="54" t="s">
        <v>46</v>
      </c>
      <c r="D38" s="54" t="s">
        <v>46</v>
      </c>
      <c r="E38" s="54" t="s">
        <v>46</v>
      </c>
      <c r="F38" s="54" t="s">
        <v>46</v>
      </c>
      <c r="G38" s="54" t="s">
        <v>46</v>
      </c>
      <c r="H38" s="54" t="s">
        <v>46</v>
      </c>
      <c r="I38" s="53">
        <f t="shared" si="36"/>
        <v>-801.47199999999998</v>
      </c>
    </row>
    <row r="39" spans="1:9" x14ac:dyDescent="0.25">
      <c r="A39" s="52" t="s">
        <v>244</v>
      </c>
      <c r="B39" s="54" t="s">
        <v>46</v>
      </c>
      <c r="C39" s="54" t="s">
        <v>46</v>
      </c>
      <c r="D39" s="53">
        <f>990704/1000</f>
        <v>990.70399999999995</v>
      </c>
      <c r="E39" s="54" t="s">
        <v>46</v>
      </c>
      <c r="F39" s="54" t="s">
        <v>46</v>
      </c>
      <c r="G39" s="54" t="s">
        <v>46</v>
      </c>
      <c r="H39" s="54" t="s">
        <v>46</v>
      </c>
      <c r="I39" s="53">
        <f t="shared" si="36"/>
        <v>990.70399999999995</v>
      </c>
    </row>
    <row r="40" spans="1:9" x14ac:dyDescent="0.25">
      <c r="A40" s="52" t="s">
        <v>231</v>
      </c>
      <c r="B40" s="53">
        <f>486797/1000</f>
        <v>486.79700000000003</v>
      </c>
      <c r="C40" s="54" t="s">
        <v>46</v>
      </c>
      <c r="D40" s="54" t="s">
        <v>46</v>
      </c>
      <c r="E40" s="54" t="s">
        <v>46</v>
      </c>
      <c r="F40" s="53">
        <f>-486797/1000</f>
        <v>-486.79700000000003</v>
      </c>
      <c r="G40" s="54" t="s">
        <v>46</v>
      </c>
      <c r="H40" s="54" t="s">
        <v>46</v>
      </c>
      <c r="I40" s="53">
        <f t="shared" si="36"/>
        <v>0</v>
      </c>
    </row>
    <row r="41" spans="1:9" x14ac:dyDescent="0.25">
      <c r="A41" s="52" t="s">
        <v>232</v>
      </c>
      <c r="B41" s="53">
        <f>-320/1000</f>
        <v>-0.32</v>
      </c>
      <c r="C41" s="54" t="s">
        <v>46</v>
      </c>
      <c r="D41" s="54" t="s">
        <v>46</v>
      </c>
      <c r="E41" s="54" t="s">
        <v>46</v>
      </c>
      <c r="F41" s="53">
        <f>286/1000</f>
        <v>0.28599999999999998</v>
      </c>
      <c r="G41" s="54" t="s">
        <v>46</v>
      </c>
      <c r="H41" s="54" t="s">
        <v>46</v>
      </c>
      <c r="I41" s="53">
        <f t="shared" si="36"/>
        <v>-3.400000000000003E-2</v>
      </c>
    </row>
    <row r="42" spans="1:9" x14ac:dyDescent="0.25">
      <c r="A42" s="52" t="s">
        <v>233</v>
      </c>
      <c r="B42" s="53">
        <f>1535/1000</f>
        <v>1.5349999999999999</v>
      </c>
      <c r="C42" s="54" t="s">
        <v>46</v>
      </c>
      <c r="D42" s="54" t="s">
        <v>46</v>
      </c>
      <c r="E42" s="54" t="s">
        <v>46</v>
      </c>
      <c r="F42" s="54">
        <v>-7.4999999999999997E-2</v>
      </c>
      <c r="G42" s="54" t="s">
        <v>46</v>
      </c>
      <c r="H42" s="54" t="s">
        <v>46</v>
      </c>
      <c r="I42" s="53">
        <f t="shared" si="36"/>
        <v>1.46</v>
      </c>
    </row>
    <row r="43" spans="1:9" x14ac:dyDescent="0.25">
      <c r="A43" s="52" t="s">
        <v>234</v>
      </c>
      <c r="B43" s="54" t="s">
        <v>46</v>
      </c>
      <c r="C43" s="54" t="s">
        <v>46</v>
      </c>
      <c r="D43" s="54" t="s">
        <v>46</v>
      </c>
      <c r="E43" s="53">
        <f>945703/1000</f>
        <v>945.70299999999997</v>
      </c>
      <c r="F43" s="54">
        <f>802595/1000</f>
        <v>802.59500000000003</v>
      </c>
      <c r="G43" s="53">
        <f>-421722/1000</f>
        <v>-421.72199999999998</v>
      </c>
      <c r="H43" s="53">
        <f>-178929/1000</f>
        <v>-178.929</v>
      </c>
      <c r="I43" s="53">
        <f t="shared" si="36"/>
        <v>1147.6469999999999</v>
      </c>
    </row>
    <row r="44" spans="1:9" ht="15.75" thickBot="1" x14ac:dyDescent="0.3">
      <c r="A44" s="101" t="s">
        <v>272</v>
      </c>
      <c r="B44" s="33">
        <f t="shared" ref="B44:I44" si="37">SUM(B35:B43)</f>
        <v>33023.455000000009</v>
      </c>
      <c r="C44" s="33">
        <f t="shared" si="37"/>
        <v>0</v>
      </c>
      <c r="D44" s="33">
        <f t="shared" si="37"/>
        <v>990.70399999999995</v>
      </c>
      <c r="E44" s="33">
        <f t="shared" si="37"/>
        <v>743.02699999999993</v>
      </c>
      <c r="F44" s="33">
        <f t="shared" si="37"/>
        <v>1827.788</v>
      </c>
      <c r="G44" s="33">
        <f t="shared" si="37"/>
        <v>388.28199999999993</v>
      </c>
      <c r="H44" s="33">
        <f t="shared" si="37"/>
        <v>26.33899999999997</v>
      </c>
      <c r="I44" s="33">
        <f t="shared" si="37"/>
        <v>36999.594999999994</v>
      </c>
    </row>
    <row r="45" spans="1:9" ht="15.75" thickBot="1" x14ac:dyDescent="0.3">
      <c r="A45" s="225" t="s">
        <v>235</v>
      </c>
      <c r="B45" s="226">
        <f t="shared" ref="B45:I45" si="38">SUM(B44)-SUM(B35)</f>
        <v>741.07900000000154</v>
      </c>
      <c r="C45" s="226">
        <f t="shared" si="38"/>
        <v>0</v>
      </c>
      <c r="D45" s="226">
        <f t="shared" si="38"/>
        <v>22.232999999999947</v>
      </c>
      <c r="E45" s="226">
        <f t="shared" si="38"/>
        <v>-22.768000000000029</v>
      </c>
      <c r="F45" s="226">
        <f t="shared" si="38"/>
        <v>316.00900000000001</v>
      </c>
      <c r="G45" s="226">
        <f t="shared" si="38"/>
        <v>-421.72199999999998</v>
      </c>
      <c r="H45" s="226">
        <f t="shared" si="38"/>
        <v>-178.929</v>
      </c>
      <c r="I45" s="226">
        <f t="shared" si="38"/>
        <v>455.90199999999459</v>
      </c>
    </row>
    <row r="46" spans="1:9" x14ac:dyDescent="0.25">
      <c r="A46" s="101" t="s">
        <v>272</v>
      </c>
      <c r="B46" s="33">
        <f>B44</f>
        <v>33023.455000000009</v>
      </c>
      <c r="C46" s="33">
        <f t="shared" ref="C46:I46" si="39">C44</f>
        <v>0</v>
      </c>
      <c r="D46" s="33">
        <f t="shared" si="39"/>
        <v>990.70399999999995</v>
      </c>
      <c r="E46" s="33">
        <f t="shared" si="39"/>
        <v>743.02699999999993</v>
      </c>
      <c r="F46" s="33">
        <f t="shared" si="39"/>
        <v>1827.788</v>
      </c>
      <c r="G46" s="33">
        <f t="shared" si="39"/>
        <v>388.28199999999993</v>
      </c>
      <c r="H46" s="33">
        <f t="shared" si="39"/>
        <v>26.33899999999997</v>
      </c>
      <c r="I46" s="33">
        <f t="shared" si="39"/>
        <v>36999.594999999994</v>
      </c>
    </row>
    <row r="47" spans="1:9" x14ac:dyDescent="0.25">
      <c r="A47" s="52" t="s">
        <v>226</v>
      </c>
      <c r="B47" s="53">
        <f>1733466/1000</f>
        <v>1733.4659999999999</v>
      </c>
      <c r="C47" s="54" t="s">
        <v>46</v>
      </c>
      <c r="D47" s="53">
        <f>-990704/1000</f>
        <v>-990.70399999999995</v>
      </c>
      <c r="E47" s="53">
        <f>-743027/1000</f>
        <v>-743.02700000000004</v>
      </c>
      <c r="F47" s="54">
        <f>265/1000</f>
        <v>0.26500000000000001</v>
      </c>
      <c r="G47" s="54" t="s">
        <v>46</v>
      </c>
      <c r="H47" s="54" t="s">
        <v>46</v>
      </c>
      <c r="I47" s="53">
        <f>SUM(B47:H47)</f>
        <v>-1.000310945187266E-13</v>
      </c>
    </row>
    <row r="48" spans="1:9" x14ac:dyDescent="0.25">
      <c r="A48" s="52" t="s">
        <v>227</v>
      </c>
      <c r="B48" s="53">
        <f>-875802/1000</f>
        <v>-875.80200000000002</v>
      </c>
      <c r="C48" s="54" t="s">
        <v>46</v>
      </c>
      <c r="D48" s="54" t="s">
        <v>46</v>
      </c>
      <c r="E48" s="54" t="s">
        <v>46</v>
      </c>
      <c r="F48" s="54" t="s">
        <v>46</v>
      </c>
      <c r="G48" s="54" t="s">
        <v>46</v>
      </c>
      <c r="H48" s="54" t="s">
        <v>46</v>
      </c>
      <c r="I48" s="53">
        <f t="shared" ref="I48:I54" si="40">SUM(B48:H48)</f>
        <v>-875.80200000000002</v>
      </c>
    </row>
    <row r="49" spans="1:9" x14ac:dyDescent="0.25">
      <c r="A49" s="52" t="s">
        <v>228</v>
      </c>
      <c r="B49" s="53">
        <f>-680231/1000</f>
        <v>-680.23099999999999</v>
      </c>
      <c r="C49" s="54" t="s">
        <v>46</v>
      </c>
      <c r="D49" s="54" t="s">
        <v>46</v>
      </c>
      <c r="E49" s="54" t="s">
        <v>46</v>
      </c>
      <c r="F49" s="54" t="s">
        <v>46</v>
      </c>
      <c r="G49" s="54" t="s">
        <v>46</v>
      </c>
      <c r="H49" s="54" t="s">
        <v>46</v>
      </c>
      <c r="I49" s="53">
        <f t="shared" si="40"/>
        <v>-680.23099999999999</v>
      </c>
    </row>
    <row r="50" spans="1:9" x14ac:dyDescent="0.25">
      <c r="A50" s="52" t="s">
        <v>244</v>
      </c>
      <c r="B50" s="54" t="s">
        <v>46</v>
      </c>
      <c r="C50" s="54" t="s">
        <v>46</v>
      </c>
      <c r="D50" s="53">
        <f>1017832/1000</f>
        <v>1017.832</v>
      </c>
      <c r="E50" s="54" t="s">
        <v>46</v>
      </c>
      <c r="F50" s="54" t="s">
        <v>46</v>
      </c>
      <c r="G50" s="54" t="s">
        <v>46</v>
      </c>
      <c r="H50" s="54" t="s">
        <v>46</v>
      </c>
      <c r="I50" s="53">
        <f t="shared" si="40"/>
        <v>1017.832</v>
      </c>
    </row>
    <row r="51" spans="1:9" x14ac:dyDescent="0.25">
      <c r="A51" s="52" t="s">
        <v>231</v>
      </c>
      <c r="B51" s="53">
        <f>795130/1000</f>
        <v>795.13</v>
      </c>
      <c r="C51" s="54" t="s">
        <v>46</v>
      </c>
      <c r="D51" s="54" t="s">
        <v>46</v>
      </c>
      <c r="E51" s="54" t="s">
        <v>46</v>
      </c>
      <c r="F51" s="53">
        <f>-795130/1000</f>
        <v>-795.13</v>
      </c>
      <c r="G51" s="54" t="s">
        <v>46</v>
      </c>
      <c r="H51" s="54" t="s">
        <v>46</v>
      </c>
      <c r="I51" s="53">
        <f t="shared" si="40"/>
        <v>0</v>
      </c>
    </row>
    <row r="52" spans="1:9" x14ac:dyDescent="0.25">
      <c r="A52" s="52" t="s">
        <v>232</v>
      </c>
      <c r="B52" s="53">
        <f>-64410/1000</f>
        <v>-64.41</v>
      </c>
      <c r="C52" s="54" t="s">
        <v>46</v>
      </c>
      <c r="D52" s="54" t="s">
        <v>46</v>
      </c>
      <c r="E52" s="54" t="s">
        <v>46</v>
      </c>
      <c r="F52" s="53">
        <f>67338/1000</f>
        <v>67.337999999999994</v>
      </c>
      <c r="G52" s="54" t="s">
        <v>46</v>
      </c>
      <c r="H52" s="54" t="s">
        <v>46</v>
      </c>
      <c r="I52" s="53">
        <f t="shared" si="40"/>
        <v>2.9279999999999973</v>
      </c>
    </row>
    <row r="53" spans="1:9" x14ac:dyDescent="0.25">
      <c r="A53" s="52" t="s">
        <v>233</v>
      </c>
      <c r="B53" s="53">
        <v>0.42399999999999999</v>
      </c>
      <c r="C53" s="54" t="s">
        <v>46</v>
      </c>
      <c r="D53" s="54" t="s">
        <v>46</v>
      </c>
      <c r="E53" s="54" t="s">
        <v>46</v>
      </c>
      <c r="F53" s="54">
        <f>823/1000</f>
        <v>0.82299999999999995</v>
      </c>
      <c r="G53" s="54" t="s">
        <v>46</v>
      </c>
      <c r="H53" s="54" t="s">
        <v>46</v>
      </c>
      <c r="I53" s="53">
        <f t="shared" si="40"/>
        <v>1.2469999999999999</v>
      </c>
    </row>
    <row r="54" spans="1:9" x14ac:dyDescent="0.25">
      <c r="A54" s="52" t="s">
        <v>234</v>
      </c>
      <c r="B54" s="54" t="s">
        <v>46</v>
      </c>
      <c r="C54" s="54" t="s">
        <v>46</v>
      </c>
      <c r="D54" s="54" t="s">
        <v>46</v>
      </c>
      <c r="E54" s="53">
        <f>678515/1000</f>
        <v>678.51499999999999</v>
      </c>
      <c r="F54" s="54">
        <f>598643/1000</f>
        <v>598.64300000000003</v>
      </c>
      <c r="G54" s="53">
        <f>-320139/1000</f>
        <v>-320.13900000000001</v>
      </c>
      <c r="H54" s="53">
        <f>-617/1000</f>
        <v>-0.61699999999999999</v>
      </c>
      <c r="I54" s="53">
        <f t="shared" si="40"/>
        <v>956.40199999999993</v>
      </c>
    </row>
    <row r="55" spans="1:9" ht="15.75" thickBot="1" x14ac:dyDescent="0.3">
      <c r="A55" s="101" t="s">
        <v>263</v>
      </c>
      <c r="B55" s="33">
        <f t="shared" ref="B55:I55" si="41">SUM(B46:B54)</f>
        <v>33932.031999999999</v>
      </c>
      <c r="C55" s="33">
        <f t="shared" si="41"/>
        <v>0</v>
      </c>
      <c r="D55" s="33">
        <f t="shared" si="41"/>
        <v>1017.832</v>
      </c>
      <c r="E55" s="33">
        <f t="shared" si="41"/>
        <v>678.51499999999987</v>
      </c>
      <c r="F55" s="33">
        <f t="shared" si="41"/>
        <v>1699.7270000000003</v>
      </c>
      <c r="G55" s="33">
        <f t="shared" si="41"/>
        <v>68.142999999999915</v>
      </c>
      <c r="H55" s="33">
        <f t="shared" si="41"/>
        <v>25.721999999999969</v>
      </c>
      <c r="I55" s="33">
        <f t="shared" si="41"/>
        <v>37421.970999999998</v>
      </c>
    </row>
    <row r="56" spans="1:9" ht="15.75" thickBot="1" x14ac:dyDescent="0.3">
      <c r="A56" s="225" t="s">
        <v>235</v>
      </c>
      <c r="B56" s="226">
        <f t="shared" ref="B56:I56" si="42">SUM(B55)-SUM(B46)</f>
        <v>908.57699999999022</v>
      </c>
      <c r="C56" s="226">
        <f t="shared" si="42"/>
        <v>0</v>
      </c>
      <c r="D56" s="226">
        <f t="shared" si="42"/>
        <v>27.128000000000043</v>
      </c>
      <c r="E56" s="226">
        <f t="shared" si="42"/>
        <v>-64.512000000000057</v>
      </c>
      <c r="F56" s="226">
        <f t="shared" si="42"/>
        <v>-128.06099999999969</v>
      </c>
      <c r="G56" s="226">
        <f t="shared" si="42"/>
        <v>-320.13900000000001</v>
      </c>
      <c r="H56" s="226">
        <f t="shared" si="42"/>
        <v>-0.61700000000000088</v>
      </c>
      <c r="I56" s="226">
        <f t="shared" si="42"/>
        <v>422.37600000000384</v>
      </c>
    </row>
    <row r="57" spans="1:9" x14ac:dyDescent="0.25">
      <c r="A57" s="101" t="s">
        <v>263</v>
      </c>
      <c r="B57" s="33">
        <f>B55</f>
        <v>33932.031999999999</v>
      </c>
      <c r="C57" s="33">
        <f t="shared" ref="C57:I57" si="43">C55</f>
        <v>0</v>
      </c>
      <c r="D57" s="33">
        <f t="shared" si="43"/>
        <v>1017.832</v>
      </c>
      <c r="E57" s="33">
        <f t="shared" si="43"/>
        <v>678.51499999999987</v>
      </c>
      <c r="F57" s="33">
        <f t="shared" si="43"/>
        <v>1699.7270000000003</v>
      </c>
      <c r="G57" s="33">
        <f t="shared" si="43"/>
        <v>68.142999999999915</v>
      </c>
      <c r="H57" s="33">
        <f t="shared" si="43"/>
        <v>25.721999999999969</v>
      </c>
      <c r="I57" s="33">
        <f t="shared" si="43"/>
        <v>37421.970999999998</v>
      </c>
    </row>
    <row r="58" spans="1:9" x14ac:dyDescent="0.25">
      <c r="A58" s="52" t="s">
        <v>226</v>
      </c>
      <c r="B58" s="53">
        <f>1696347/1000</f>
        <v>1696.347</v>
      </c>
      <c r="C58" s="54" t="s">
        <v>46</v>
      </c>
      <c r="D58" s="53">
        <f>-1017832/1000</f>
        <v>-1017.832</v>
      </c>
      <c r="E58" s="53">
        <f>-678515/1000</f>
        <v>-678.51499999999999</v>
      </c>
      <c r="F58" s="54" t="s">
        <v>46</v>
      </c>
      <c r="G58" s="54" t="s">
        <v>46</v>
      </c>
      <c r="H58" s="54" t="s">
        <v>46</v>
      </c>
      <c r="I58" s="53">
        <f>SUM(B58:H58)</f>
        <v>0</v>
      </c>
    </row>
    <row r="59" spans="1:9" x14ac:dyDescent="0.25">
      <c r="A59" s="52" t="s">
        <v>227</v>
      </c>
      <c r="B59" s="53">
        <f>-936236/1000</f>
        <v>-936.23599999999999</v>
      </c>
      <c r="C59" s="54" t="s">
        <v>46</v>
      </c>
      <c r="D59" s="54" t="s">
        <v>46</v>
      </c>
      <c r="E59" s="54" t="s">
        <v>46</v>
      </c>
      <c r="F59" s="54" t="s">
        <v>46</v>
      </c>
      <c r="G59" s="54" t="s">
        <v>46</v>
      </c>
      <c r="H59" s="54" t="s">
        <v>46</v>
      </c>
      <c r="I59" s="53">
        <f t="shared" ref="I59:I66" si="44">SUM(B59:H59)</f>
        <v>-936.23599999999999</v>
      </c>
    </row>
    <row r="60" spans="1:9" x14ac:dyDescent="0.25">
      <c r="A60" s="52" t="s">
        <v>228</v>
      </c>
      <c r="B60" s="53">
        <f>-611829/1000</f>
        <v>-611.82899999999995</v>
      </c>
      <c r="C60" s="54" t="s">
        <v>46</v>
      </c>
      <c r="D60" s="54" t="s">
        <v>46</v>
      </c>
      <c r="E60" s="54" t="s">
        <v>46</v>
      </c>
      <c r="F60" s="54" t="s">
        <v>46</v>
      </c>
      <c r="G60" s="54" t="s">
        <v>46</v>
      </c>
      <c r="H60" s="54" t="s">
        <v>46</v>
      </c>
      <c r="I60" s="53">
        <f t="shared" si="44"/>
        <v>-611.82899999999995</v>
      </c>
    </row>
    <row r="61" spans="1:9" x14ac:dyDescent="0.25">
      <c r="A61" s="52" t="s">
        <v>244</v>
      </c>
      <c r="B61" s="54" t="s">
        <v>46</v>
      </c>
      <c r="C61" s="54" t="s">
        <v>46</v>
      </c>
      <c r="D61" s="53">
        <f>1042059/1000</f>
        <v>1042.059</v>
      </c>
      <c r="E61" s="54" t="s">
        <v>46</v>
      </c>
      <c r="F61" s="54" t="s">
        <v>46</v>
      </c>
      <c r="G61" s="54" t="s">
        <v>46</v>
      </c>
      <c r="H61" s="54" t="s">
        <v>46</v>
      </c>
      <c r="I61" s="53">
        <f t="shared" si="44"/>
        <v>1042.059</v>
      </c>
    </row>
    <row r="62" spans="1:9" x14ac:dyDescent="0.25">
      <c r="A62" s="52" t="s">
        <v>231</v>
      </c>
      <c r="B62" s="53">
        <f>657624/1000</f>
        <v>657.62400000000002</v>
      </c>
      <c r="C62" s="54" t="s">
        <v>46</v>
      </c>
      <c r="D62" s="54" t="s">
        <v>46</v>
      </c>
      <c r="E62" s="54" t="s">
        <v>46</v>
      </c>
      <c r="F62" s="53">
        <f>-657624/1000</f>
        <v>-657.62400000000002</v>
      </c>
      <c r="G62" s="54" t="s">
        <v>46</v>
      </c>
      <c r="H62" s="54" t="s">
        <v>46</v>
      </c>
      <c r="I62" s="53">
        <f t="shared" si="44"/>
        <v>0</v>
      </c>
    </row>
    <row r="63" spans="1:9" x14ac:dyDescent="0.25">
      <c r="A63" s="52" t="s">
        <v>232</v>
      </c>
      <c r="B63" s="53">
        <v>-8.5999999999999993E-2</v>
      </c>
      <c r="C63" s="54" t="s">
        <v>46</v>
      </c>
      <c r="D63" s="54" t="s">
        <v>46</v>
      </c>
      <c r="E63" s="54" t="s">
        <v>46</v>
      </c>
      <c r="F63" s="53">
        <f>10/1000</f>
        <v>0.01</v>
      </c>
      <c r="G63" s="54" t="s">
        <v>46</v>
      </c>
      <c r="H63" s="54" t="s">
        <v>46</v>
      </c>
      <c r="I63" s="53">
        <f t="shared" si="44"/>
        <v>-7.5999999999999998E-2</v>
      </c>
    </row>
    <row r="64" spans="1:9" x14ac:dyDescent="0.25">
      <c r="A64" s="52" t="s">
        <v>264</v>
      </c>
      <c r="B64" s="54" t="s">
        <v>46</v>
      </c>
      <c r="C64" s="54" t="s">
        <v>46</v>
      </c>
      <c r="D64" s="54" t="s">
        <v>46</v>
      </c>
      <c r="E64" s="54" t="s">
        <v>46</v>
      </c>
      <c r="F64" s="53">
        <v>-0.94299999999999995</v>
      </c>
      <c r="G64" s="54" t="s">
        <v>46</v>
      </c>
      <c r="H64" s="54" t="s">
        <v>46</v>
      </c>
      <c r="I64" s="53">
        <f t="shared" si="44"/>
        <v>-0.94299999999999995</v>
      </c>
    </row>
    <row r="65" spans="1:9" x14ac:dyDescent="0.25">
      <c r="A65" s="52" t="s">
        <v>233</v>
      </c>
      <c r="B65" s="53">
        <f>1589/1000</f>
        <v>1.589</v>
      </c>
      <c r="C65" s="54" t="s">
        <v>46</v>
      </c>
      <c r="D65" s="54" t="s">
        <v>46</v>
      </c>
      <c r="E65" s="54" t="s">
        <v>46</v>
      </c>
      <c r="F65" s="54" t="s">
        <v>46</v>
      </c>
      <c r="G65" s="54" t="s">
        <v>46</v>
      </c>
      <c r="H65" s="54" t="s">
        <v>46</v>
      </c>
      <c r="I65" s="53">
        <f t="shared" si="44"/>
        <v>1.589</v>
      </c>
    </row>
    <row r="66" spans="1:9" x14ac:dyDescent="0.25">
      <c r="A66" s="52" t="s">
        <v>234</v>
      </c>
      <c r="B66" s="54" t="s">
        <v>46</v>
      </c>
      <c r="C66" s="54" t="s">
        <v>46</v>
      </c>
      <c r="D66" s="54" t="s">
        <v>46</v>
      </c>
      <c r="E66" s="53">
        <f>824934/1000</f>
        <v>824.93399999999997</v>
      </c>
      <c r="F66" s="54">
        <f>166631/1000</f>
        <v>166.631</v>
      </c>
      <c r="G66" s="53">
        <v>-14.977</v>
      </c>
      <c r="H66" s="53">
        <f>649/1000</f>
        <v>0.64900000000000002</v>
      </c>
      <c r="I66" s="53">
        <f t="shared" si="44"/>
        <v>977.23699999999997</v>
      </c>
    </row>
    <row r="67" spans="1:9" ht="15.75" thickBot="1" x14ac:dyDescent="0.3">
      <c r="A67" s="101" t="s">
        <v>225</v>
      </c>
      <c r="B67" s="33">
        <f t="shared" ref="B67:I67" si="45">SUM(B57:B66)</f>
        <v>34739.441000000006</v>
      </c>
      <c r="C67" s="33">
        <f t="shared" si="45"/>
        <v>0</v>
      </c>
      <c r="D67" s="33">
        <f t="shared" si="45"/>
        <v>1042.059</v>
      </c>
      <c r="E67" s="33">
        <f t="shared" si="45"/>
        <v>824.93399999999986</v>
      </c>
      <c r="F67" s="33">
        <f t="shared" si="45"/>
        <v>1207.8010000000004</v>
      </c>
      <c r="G67" s="33">
        <f t="shared" si="45"/>
        <v>53.165999999999912</v>
      </c>
      <c r="H67" s="33">
        <f t="shared" si="45"/>
        <v>26.37099999999997</v>
      </c>
      <c r="I67" s="33">
        <f t="shared" si="45"/>
        <v>37893.772000000004</v>
      </c>
    </row>
    <row r="68" spans="1:9" ht="15.75" thickBot="1" x14ac:dyDescent="0.3">
      <c r="A68" s="225" t="s">
        <v>235</v>
      </c>
      <c r="B68" s="226">
        <f t="shared" ref="B68:I68" si="46">SUM(B67)-SUM(B57)</f>
        <v>807.40900000000693</v>
      </c>
      <c r="C68" s="226">
        <f t="shared" si="46"/>
        <v>0</v>
      </c>
      <c r="D68" s="226">
        <f t="shared" si="46"/>
        <v>24.226999999999975</v>
      </c>
      <c r="E68" s="226">
        <f t="shared" si="46"/>
        <v>146.41899999999998</v>
      </c>
      <c r="F68" s="226">
        <f t="shared" si="46"/>
        <v>-491.92599999999993</v>
      </c>
      <c r="G68" s="226">
        <f t="shared" si="46"/>
        <v>-14.977000000000004</v>
      </c>
      <c r="H68" s="226">
        <f t="shared" si="46"/>
        <v>0.64900000000000091</v>
      </c>
      <c r="I68" s="226">
        <f t="shared" si="46"/>
        <v>471.80100000000675</v>
      </c>
    </row>
    <row r="69" spans="1:9" x14ac:dyDescent="0.25">
      <c r="A69" s="101" t="s">
        <v>225</v>
      </c>
      <c r="B69" s="33">
        <f>B67</f>
        <v>34739.441000000006</v>
      </c>
      <c r="C69" s="33">
        <f t="shared" ref="C69:I69" si="47">C67</f>
        <v>0</v>
      </c>
      <c r="D69" s="33">
        <f t="shared" si="47"/>
        <v>1042.059</v>
      </c>
      <c r="E69" s="33">
        <f t="shared" si="47"/>
        <v>824.93399999999986</v>
      </c>
      <c r="F69" s="33">
        <f t="shared" si="47"/>
        <v>1207.8010000000004</v>
      </c>
      <c r="G69" s="33">
        <f t="shared" si="47"/>
        <v>53.165999999999912</v>
      </c>
      <c r="H69" s="33">
        <f t="shared" si="47"/>
        <v>26.37099999999997</v>
      </c>
      <c r="I69" s="33">
        <f t="shared" si="47"/>
        <v>37893.772000000004</v>
      </c>
    </row>
    <row r="70" spans="1:9" x14ac:dyDescent="0.25">
      <c r="A70" s="52" t="s">
        <v>226</v>
      </c>
      <c r="B70" s="53">
        <f>1866993/1000</f>
        <v>1866.9929999999999</v>
      </c>
      <c r="C70" s="53" t="s">
        <v>46</v>
      </c>
      <c r="D70" s="53">
        <f>-1042059/1000</f>
        <v>-1042.059</v>
      </c>
      <c r="E70" s="53">
        <f>-824934/1000</f>
        <v>-824.93399999999997</v>
      </c>
      <c r="F70" s="53" t="s">
        <v>46</v>
      </c>
      <c r="G70" s="53" t="s">
        <v>46</v>
      </c>
      <c r="H70" s="53" t="s">
        <v>46</v>
      </c>
      <c r="I70" s="53">
        <f t="shared" ref="I70:I79" si="48">SUM(B70:H70)</f>
        <v>0</v>
      </c>
    </row>
    <row r="71" spans="1:9" x14ac:dyDescent="0.25">
      <c r="A71" s="52" t="s">
        <v>227</v>
      </c>
      <c r="B71" s="53">
        <f>-1338633/1000</f>
        <v>-1338.633</v>
      </c>
      <c r="C71" s="53" t="s">
        <v>46</v>
      </c>
      <c r="D71" s="53" t="s">
        <v>46</v>
      </c>
      <c r="E71" s="53" t="s">
        <v>46</v>
      </c>
      <c r="F71" s="53" t="s">
        <v>46</v>
      </c>
      <c r="G71" s="53" t="s">
        <v>46</v>
      </c>
      <c r="H71" s="53" t="s">
        <v>46</v>
      </c>
      <c r="I71" s="53">
        <f t="shared" si="48"/>
        <v>-1338.633</v>
      </c>
    </row>
    <row r="72" spans="1:9" x14ac:dyDescent="0.25">
      <c r="A72" s="52" t="s">
        <v>228</v>
      </c>
      <c r="B72" s="53">
        <f>-614941/1000</f>
        <v>-614.94100000000003</v>
      </c>
      <c r="C72" s="53" t="s">
        <v>46</v>
      </c>
      <c r="D72" s="53" t="s">
        <v>46</v>
      </c>
      <c r="E72" s="53" t="s">
        <v>46</v>
      </c>
      <c r="F72" s="53" t="s">
        <v>46</v>
      </c>
      <c r="G72" s="53" t="s">
        <v>46</v>
      </c>
      <c r="H72" s="53" t="s">
        <v>46</v>
      </c>
      <c r="I72" s="53">
        <f t="shared" si="48"/>
        <v>-614.94100000000003</v>
      </c>
    </row>
    <row r="73" spans="1:9" x14ac:dyDescent="0.25">
      <c r="A73" s="52" t="s">
        <v>229</v>
      </c>
      <c r="B73" s="53">
        <v>-2.5999999999999999E-2</v>
      </c>
      <c r="C73" s="53" t="s">
        <v>46</v>
      </c>
      <c r="D73" s="53" t="s">
        <v>46</v>
      </c>
      <c r="E73" s="53" t="s">
        <v>46</v>
      </c>
      <c r="F73" s="53" t="s">
        <v>46</v>
      </c>
      <c r="G73" s="53" t="s">
        <v>46</v>
      </c>
      <c r="H73" s="53" t="s">
        <v>46</v>
      </c>
      <c r="I73" s="53">
        <f t="shared" si="48"/>
        <v>-2.5999999999999999E-2</v>
      </c>
    </row>
    <row r="74" spans="1:9" x14ac:dyDescent="0.25">
      <c r="A74" s="52" t="s">
        <v>230</v>
      </c>
      <c r="B74" s="53" t="s">
        <v>46</v>
      </c>
      <c r="C74" s="53">
        <f>372666/1000</f>
        <v>372.666</v>
      </c>
      <c r="D74" s="53" t="s">
        <v>46</v>
      </c>
      <c r="E74" s="53" t="s">
        <v>46</v>
      </c>
      <c r="F74" s="53" t="s">
        <v>46</v>
      </c>
      <c r="G74" s="53" t="s">
        <v>46</v>
      </c>
      <c r="H74" s="53" t="s">
        <v>46</v>
      </c>
      <c r="I74" s="53">
        <f t="shared" si="48"/>
        <v>372.666</v>
      </c>
    </row>
    <row r="75" spans="1:9" x14ac:dyDescent="0.25">
      <c r="A75" s="52" t="s">
        <v>244</v>
      </c>
      <c r="B75" s="53" t="s">
        <v>46</v>
      </c>
      <c r="C75" s="53" t="s">
        <v>46</v>
      </c>
      <c r="D75" s="53">
        <f>1065218/1000</f>
        <v>1065.2180000000001</v>
      </c>
      <c r="E75" s="53" t="s">
        <v>46</v>
      </c>
      <c r="F75" s="53" t="s">
        <v>46</v>
      </c>
      <c r="G75" s="53" t="s">
        <v>46</v>
      </c>
      <c r="H75" s="53" t="s">
        <v>46</v>
      </c>
      <c r="I75" s="53">
        <f t="shared" si="48"/>
        <v>1065.2180000000001</v>
      </c>
    </row>
    <row r="76" spans="1:9" x14ac:dyDescent="0.25">
      <c r="A76" s="52" t="s">
        <v>231</v>
      </c>
      <c r="B76" s="53">
        <f>485002/1000</f>
        <v>485.00200000000001</v>
      </c>
      <c r="C76" s="53" t="s">
        <v>46</v>
      </c>
      <c r="D76" s="53" t="s">
        <v>46</v>
      </c>
      <c r="E76" s="53" t="s">
        <v>46</v>
      </c>
      <c r="F76" s="53">
        <f>-485002/1000</f>
        <v>-485.00200000000001</v>
      </c>
      <c r="G76" s="53" t="s">
        <v>46</v>
      </c>
      <c r="H76" s="53" t="s">
        <v>46</v>
      </c>
      <c r="I76" s="53">
        <f>SUM(B76:H76)</f>
        <v>0</v>
      </c>
    </row>
    <row r="77" spans="1:9" x14ac:dyDescent="0.25">
      <c r="A77" s="52" t="s">
        <v>232</v>
      </c>
      <c r="B77" s="53">
        <v>-2E-3</v>
      </c>
      <c r="C77" s="53" t="s">
        <v>46</v>
      </c>
      <c r="D77" s="53" t="s">
        <v>46</v>
      </c>
      <c r="E77" s="53" t="s">
        <v>46</v>
      </c>
      <c r="F77" s="53">
        <f>22/1000</f>
        <v>2.1999999999999999E-2</v>
      </c>
      <c r="G77" s="53" t="s">
        <v>46</v>
      </c>
      <c r="H77" s="53" t="s">
        <v>46</v>
      </c>
      <c r="I77" s="53">
        <f t="shared" si="48"/>
        <v>1.9999999999999997E-2</v>
      </c>
    </row>
    <row r="78" spans="1:9" x14ac:dyDescent="0.25">
      <c r="A78" s="52" t="s">
        <v>233</v>
      </c>
      <c r="B78" s="53">
        <v>0.81799999999999995</v>
      </c>
      <c r="C78" s="53" t="s">
        <v>46</v>
      </c>
      <c r="D78" s="53" t="s">
        <v>46</v>
      </c>
      <c r="E78" s="53" t="s">
        <v>46</v>
      </c>
      <c r="F78" s="53">
        <f>3/1000</f>
        <v>3.0000000000000001E-3</v>
      </c>
      <c r="G78" s="53" t="s">
        <v>46</v>
      </c>
      <c r="H78" s="53" t="s">
        <v>46</v>
      </c>
      <c r="I78" s="53">
        <f t="shared" si="48"/>
        <v>0.82099999999999995</v>
      </c>
    </row>
    <row r="79" spans="1:9" x14ac:dyDescent="0.25">
      <c r="A79" s="52" t="s">
        <v>234</v>
      </c>
      <c r="B79" s="53" t="s">
        <v>46</v>
      </c>
      <c r="C79" s="53" t="s">
        <v>46</v>
      </c>
      <c r="D79" s="53" t="s">
        <v>46</v>
      </c>
      <c r="E79" s="53">
        <f>1065218/1000</f>
        <v>1065.2180000000001</v>
      </c>
      <c r="F79" s="53">
        <f>313330/1000</f>
        <v>313.33</v>
      </c>
      <c r="G79" s="53">
        <v>-5.8719999999999999</v>
      </c>
      <c r="H79" s="53">
        <v>-13.308999999999999</v>
      </c>
      <c r="I79" s="53">
        <f t="shared" si="48"/>
        <v>1359.367</v>
      </c>
    </row>
    <row r="80" spans="1:9" ht="15.75" thickBot="1" x14ac:dyDescent="0.3">
      <c r="A80" s="101" t="s">
        <v>236</v>
      </c>
      <c r="B80" s="33">
        <f>SUM(B69:B79)</f>
        <v>35138.652000000009</v>
      </c>
      <c r="C80" s="33">
        <f t="shared" ref="C80:I80" si="49">SUM(C69:C79)</f>
        <v>372.666</v>
      </c>
      <c r="D80" s="33">
        <f t="shared" si="49"/>
        <v>1065.2180000000001</v>
      </c>
      <c r="E80" s="33">
        <f t="shared" si="49"/>
        <v>1065.2179999999998</v>
      </c>
      <c r="F80" s="33">
        <f t="shared" si="49"/>
        <v>1036.1540000000005</v>
      </c>
      <c r="G80" s="33">
        <f t="shared" si="49"/>
        <v>47.293999999999912</v>
      </c>
      <c r="H80" s="33">
        <f t="shared" si="49"/>
        <v>13.061999999999971</v>
      </c>
      <c r="I80" s="33">
        <f t="shared" si="49"/>
        <v>38738.264000000003</v>
      </c>
    </row>
    <row r="81" spans="1:9" ht="15.75" thickBot="1" x14ac:dyDescent="0.3">
      <c r="A81" s="225" t="s">
        <v>235</v>
      </c>
      <c r="B81" s="226">
        <f>SUM(B80)-SUM(B69)</f>
        <v>399.21100000000297</v>
      </c>
      <c r="C81" s="226">
        <f>SUM(C80)-SUM(C69)</f>
        <v>372.666</v>
      </c>
      <c r="D81" s="226">
        <f t="shared" ref="D81:I81" si="50">SUM(D80)-SUM(D69)</f>
        <v>23.159000000000106</v>
      </c>
      <c r="E81" s="226">
        <f t="shared" si="50"/>
        <v>240.28399999999999</v>
      </c>
      <c r="F81" s="226">
        <f t="shared" si="50"/>
        <v>-171.64699999999993</v>
      </c>
      <c r="G81" s="226">
        <f t="shared" si="50"/>
        <v>-5.8719999999999999</v>
      </c>
      <c r="H81" s="226">
        <f t="shared" si="50"/>
        <v>-13.308999999999999</v>
      </c>
      <c r="I81" s="226">
        <f t="shared" si="50"/>
        <v>844.49199999999837</v>
      </c>
    </row>
    <row r="82" spans="1:9" x14ac:dyDescent="0.25">
      <c r="A82" s="101" t="s">
        <v>236</v>
      </c>
      <c r="B82" s="33">
        <f>B80</f>
        <v>35138.652000000009</v>
      </c>
      <c r="C82" s="33">
        <f t="shared" ref="C82:I82" si="51">C80</f>
        <v>372.666</v>
      </c>
      <c r="D82" s="33">
        <f t="shared" si="51"/>
        <v>1065.2180000000001</v>
      </c>
      <c r="E82" s="33">
        <f t="shared" si="51"/>
        <v>1065.2179999999998</v>
      </c>
      <c r="F82" s="33">
        <f t="shared" si="51"/>
        <v>1036.1540000000005</v>
      </c>
      <c r="G82" s="33">
        <f t="shared" si="51"/>
        <v>47.293999999999912</v>
      </c>
      <c r="H82" s="33">
        <f t="shared" si="51"/>
        <v>13.061999999999971</v>
      </c>
      <c r="I82" s="33">
        <f t="shared" si="51"/>
        <v>38738.264000000003</v>
      </c>
    </row>
    <row r="83" spans="1:9" x14ac:dyDescent="0.25">
      <c r="A83" s="52" t="s">
        <v>226</v>
      </c>
      <c r="B83" s="53">
        <f>2498641/1000</f>
        <v>2498.6410000000001</v>
      </c>
      <c r="C83" s="53">
        <f>-372666/1000</f>
        <v>-372.666</v>
      </c>
      <c r="D83" s="53">
        <f>-1065218/1000</f>
        <v>-1065.2180000000001</v>
      </c>
      <c r="E83" s="53">
        <f>-1065218/1000</f>
        <v>-1065.2180000000001</v>
      </c>
      <c r="F83" s="53" t="s">
        <v>46</v>
      </c>
      <c r="G83" s="53" t="s">
        <v>46</v>
      </c>
      <c r="H83" s="53" t="s">
        <v>46</v>
      </c>
      <c r="I83" s="53">
        <f t="shared" ref="I83:I88" si="52">SUM(B83:H83)</f>
        <v>-4.4610000000002401</v>
      </c>
    </row>
    <row r="84" spans="1:9" x14ac:dyDescent="0.25">
      <c r="A84" s="52" t="s">
        <v>227</v>
      </c>
      <c r="B84" s="53">
        <f>-1250257/1000</f>
        <v>-1250.2570000000001</v>
      </c>
      <c r="C84" s="53" t="s">
        <v>46</v>
      </c>
      <c r="D84" s="53" t="s">
        <v>46</v>
      </c>
      <c r="E84" s="53" t="s">
        <v>46</v>
      </c>
      <c r="F84" s="53" t="s">
        <v>46</v>
      </c>
      <c r="G84" s="53" t="s">
        <v>46</v>
      </c>
      <c r="H84" s="53" t="s">
        <v>46</v>
      </c>
      <c r="I84" s="53">
        <f t="shared" si="52"/>
        <v>-1250.2570000000001</v>
      </c>
    </row>
    <row r="85" spans="1:9" x14ac:dyDescent="0.25">
      <c r="A85" s="52" t="s">
        <v>228</v>
      </c>
      <c r="B85" s="53">
        <f>-682559/1000</f>
        <v>-682.55899999999997</v>
      </c>
      <c r="C85" s="53" t="s">
        <v>46</v>
      </c>
      <c r="D85" s="53" t="s">
        <v>46</v>
      </c>
      <c r="E85" s="53" t="s">
        <v>46</v>
      </c>
      <c r="F85" s="53" t="s">
        <v>46</v>
      </c>
      <c r="G85" s="53" t="s">
        <v>46</v>
      </c>
      <c r="H85" s="53" t="s">
        <v>46</v>
      </c>
      <c r="I85" s="53">
        <f t="shared" si="52"/>
        <v>-682.55899999999997</v>
      </c>
    </row>
    <row r="86" spans="1:9" x14ac:dyDescent="0.25">
      <c r="A86" s="52" t="s">
        <v>229</v>
      </c>
      <c r="B86" s="53" t="s">
        <v>46</v>
      </c>
      <c r="C86" s="53" t="s">
        <v>46</v>
      </c>
      <c r="D86" s="53" t="s">
        <v>46</v>
      </c>
      <c r="E86" s="53" t="s">
        <v>46</v>
      </c>
      <c r="F86" s="53">
        <f>4461/1000</f>
        <v>4.4610000000000003</v>
      </c>
      <c r="G86" s="53" t="s">
        <v>46</v>
      </c>
      <c r="H86" s="53" t="s">
        <v>46</v>
      </c>
      <c r="I86" s="53">
        <f t="shared" si="52"/>
        <v>4.4610000000000003</v>
      </c>
    </row>
    <row r="87" spans="1:9" x14ac:dyDescent="0.25">
      <c r="A87" s="52" t="s">
        <v>230</v>
      </c>
      <c r="B87" s="53" t="s">
        <v>46</v>
      </c>
      <c r="C87" s="53">
        <f>469170/1000</f>
        <v>469.17</v>
      </c>
      <c r="D87" s="53" t="s">
        <v>46</v>
      </c>
      <c r="E87" s="53" t="s">
        <v>46</v>
      </c>
      <c r="F87" s="53" t="s">
        <v>46</v>
      </c>
      <c r="G87" s="53" t="s">
        <v>46</v>
      </c>
      <c r="H87" s="53" t="s">
        <v>46</v>
      </c>
      <c r="I87" s="53">
        <f t="shared" si="52"/>
        <v>469.17</v>
      </c>
    </row>
    <row r="88" spans="1:9" x14ac:dyDescent="0.25">
      <c r="A88" s="52" t="s">
        <v>244</v>
      </c>
      <c r="B88" s="53" t="s">
        <v>46</v>
      </c>
      <c r="C88" s="53" t="s">
        <v>46</v>
      </c>
      <c r="D88" s="53">
        <f>1099280/1000</f>
        <v>1099.28</v>
      </c>
      <c r="E88" s="53" t="s">
        <v>46</v>
      </c>
      <c r="F88" s="53" t="s">
        <v>46</v>
      </c>
      <c r="G88" s="53" t="s">
        <v>46</v>
      </c>
      <c r="H88" s="53" t="s">
        <v>46</v>
      </c>
      <c r="I88" s="53">
        <f t="shared" si="52"/>
        <v>1099.28</v>
      </c>
    </row>
    <row r="89" spans="1:9" x14ac:dyDescent="0.25">
      <c r="A89" s="52" t="s">
        <v>231</v>
      </c>
      <c r="B89" s="53">
        <f>598266/1000</f>
        <v>598.26599999999996</v>
      </c>
      <c r="C89" s="53" t="s">
        <v>46</v>
      </c>
      <c r="D89" s="53" t="s">
        <v>46</v>
      </c>
      <c r="E89" s="53" t="s">
        <v>46</v>
      </c>
      <c r="F89" s="53">
        <f>-598266/1000</f>
        <v>-598.26599999999996</v>
      </c>
      <c r="G89" s="53" t="s">
        <v>46</v>
      </c>
      <c r="H89" s="53" t="s">
        <v>46</v>
      </c>
      <c r="I89" s="53">
        <f>SUM(B89:H89)</f>
        <v>0</v>
      </c>
    </row>
    <row r="90" spans="1:9" x14ac:dyDescent="0.25">
      <c r="A90" s="52" t="s">
        <v>232</v>
      </c>
      <c r="B90" s="53">
        <f>-129719/1000</f>
        <v>-129.71899999999999</v>
      </c>
      <c r="C90" s="53" t="s">
        <v>46</v>
      </c>
      <c r="D90" s="53" t="s">
        <v>46</v>
      </c>
      <c r="E90" s="53" t="s">
        <v>46</v>
      </c>
      <c r="F90" s="53">
        <f>129711/1000</f>
        <v>129.71100000000001</v>
      </c>
      <c r="G90" s="53" t="s">
        <v>46</v>
      </c>
      <c r="H90" s="53" t="s">
        <v>46</v>
      </c>
      <c r="I90" s="53">
        <f>SUM(B90:H90)</f>
        <v>-7.9999999999813554E-3</v>
      </c>
    </row>
    <row r="91" spans="1:9" x14ac:dyDescent="0.25">
      <c r="A91" s="52" t="s">
        <v>233</v>
      </c>
      <c r="B91" s="53">
        <f>477/1000</f>
        <v>0.47699999999999998</v>
      </c>
      <c r="C91" s="53" t="s">
        <v>46</v>
      </c>
      <c r="D91" s="53" t="s">
        <v>46</v>
      </c>
      <c r="E91" s="53" t="s">
        <v>46</v>
      </c>
      <c r="F91" s="53">
        <v>-0.05</v>
      </c>
      <c r="G91" s="53" t="s">
        <v>46</v>
      </c>
      <c r="H91" s="53" t="s">
        <v>46</v>
      </c>
      <c r="I91" s="53">
        <f>SUM(B91:H91)</f>
        <v>0.42699999999999999</v>
      </c>
    </row>
    <row r="92" spans="1:9" x14ac:dyDescent="0.25">
      <c r="A92" s="52" t="s">
        <v>234</v>
      </c>
      <c r="B92" s="53" t="s">
        <v>46</v>
      </c>
      <c r="C92" s="53" t="s">
        <v>46</v>
      </c>
      <c r="D92" s="53" t="s">
        <v>46</v>
      </c>
      <c r="E92" s="53">
        <f>1099280/1000</f>
        <v>1099.28</v>
      </c>
      <c r="F92" s="53">
        <f>361414/1000</f>
        <v>361.41399999999999</v>
      </c>
      <c r="G92" s="53">
        <f>5759/1000</f>
        <v>5.7590000000000003</v>
      </c>
      <c r="H92" s="53">
        <v>-2.4020000000000001</v>
      </c>
      <c r="I92" s="53">
        <f>SUM(B92:H92)</f>
        <v>1464.0509999999999</v>
      </c>
    </row>
    <row r="93" spans="1:9" ht="15.75" thickBot="1" x14ac:dyDescent="0.3">
      <c r="A93" s="101" t="s">
        <v>245</v>
      </c>
      <c r="B93" s="33">
        <f>SUM(B82:B92)</f>
        <v>36173.501000000018</v>
      </c>
      <c r="C93" s="33">
        <f>SUM(C82:C92)</f>
        <v>469.17</v>
      </c>
      <c r="D93" s="33">
        <f t="shared" ref="D93" si="53">SUM(D82:D92)</f>
        <v>1099.28</v>
      </c>
      <c r="E93" s="33">
        <f t="shared" ref="E93" si="54">SUM(E82:E92)</f>
        <v>1099.2799999999997</v>
      </c>
      <c r="F93" s="33">
        <f t="shared" ref="F93" si="55">SUM(F82:F92)</f>
        <v>933.42400000000055</v>
      </c>
      <c r="G93" s="33">
        <f t="shared" ref="G93" si="56">SUM(G82:G92)</f>
        <v>53.052999999999912</v>
      </c>
      <c r="H93" s="33">
        <f t="shared" ref="H93" si="57">SUM(H82:H92)</f>
        <v>10.659999999999972</v>
      </c>
      <c r="I93" s="33">
        <f>SUM(I82:I92)</f>
        <v>39838.368000000002</v>
      </c>
    </row>
    <row r="94" spans="1:9" ht="15.75" thickBot="1" x14ac:dyDescent="0.3">
      <c r="A94" s="225" t="s">
        <v>235</v>
      </c>
      <c r="B94" s="226">
        <f>SUM(B93)-SUM(B82)</f>
        <v>1034.8490000000093</v>
      </c>
      <c r="C94" s="226">
        <f>SUM(C93)-SUM(C82)</f>
        <v>96.504000000000019</v>
      </c>
      <c r="D94" s="226">
        <f t="shared" ref="D94" si="58">SUM(D93)-SUM(D82)</f>
        <v>34.061999999999898</v>
      </c>
      <c r="E94" s="226">
        <f t="shared" ref="E94" si="59">SUM(E93)-SUM(E82)</f>
        <v>34.061999999999898</v>
      </c>
      <c r="F94" s="226">
        <f t="shared" ref="F94" si="60">SUM(F93)-SUM(F82)</f>
        <v>-102.7299999999999</v>
      </c>
      <c r="G94" s="226">
        <f t="shared" ref="G94" si="61">SUM(G93)-SUM(G82)</f>
        <v>5.7590000000000003</v>
      </c>
      <c r="H94" s="226">
        <f t="shared" ref="H94" si="62">SUM(H93)-SUM(H82)</f>
        <v>-2.4019999999999992</v>
      </c>
      <c r="I94" s="226">
        <f>SUM(I93)-SUM(I82)</f>
        <v>1100.1039999999994</v>
      </c>
    </row>
    <row r="95" spans="1:9" x14ac:dyDescent="0.25">
      <c r="A95" s="101" t="s">
        <v>245</v>
      </c>
      <c r="B95" s="33">
        <f>B93</f>
        <v>36173.501000000018</v>
      </c>
      <c r="C95" s="94">
        <f t="shared" ref="C95:I95" si="63">C93</f>
        <v>469.17</v>
      </c>
      <c r="D95" s="33">
        <f t="shared" si="63"/>
        <v>1099.28</v>
      </c>
      <c r="E95" s="33">
        <f t="shared" si="63"/>
        <v>1099.2799999999997</v>
      </c>
      <c r="F95" s="33">
        <f t="shared" si="63"/>
        <v>933.42400000000055</v>
      </c>
      <c r="G95" s="33">
        <f t="shared" si="63"/>
        <v>53.052999999999912</v>
      </c>
      <c r="H95" s="33">
        <f t="shared" si="63"/>
        <v>10.659999999999972</v>
      </c>
      <c r="I95" s="33">
        <f t="shared" si="63"/>
        <v>39838.368000000002</v>
      </c>
    </row>
    <row r="96" spans="1:9" x14ac:dyDescent="0.25">
      <c r="A96" s="52" t="s">
        <v>226</v>
      </c>
      <c r="B96" s="75">
        <f>2662152/1000</f>
        <v>2662.152</v>
      </c>
      <c r="C96" s="75">
        <f>-469170/1000</f>
        <v>-469.17</v>
      </c>
      <c r="D96" s="75">
        <f>-1099280/1000</f>
        <v>-1099.28</v>
      </c>
      <c r="E96" s="75">
        <f>-1099280/1000</f>
        <v>-1099.28</v>
      </c>
      <c r="F96" s="53" t="s">
        <v>46</v>
      </c>
      <c r="G96" s="53" t="s">
        <v>46</v>
      </c>
      <c r="H96" s="53" t="s">
        <v>46</v>
      </c>
      <c r="I96" s="53">
        <f>SUM(B96:H96)</f>
        <v>-5.5779999999999745</v>
      </c>
    </row>
    <row r="97" spans="1:9" x14ac:dyDescent="0.25">
      <c r="A97" s="52" t="s">
        <v>227</v>
      </c>
      <c r="B97" s="75">
        <f>-6810318/1000</f>
        <v>-6810.3180000000002</v>
      </c>
      <c r="C97" s="53" t="s">
        <v>46</v>
      </c>
      <c r="D97" s="53" t="s">
        <v>46</v>
      </c>
      <c r="E97" s="53" t="s">
        <v>46</v>
      </c>
      <c r="F97" s="53" t="s">
        <v>46</v>
      </c>
      <c r="G97" s="53" t="s">
        <v>46</v>
      </c>
      <c r="H97" s="53" t="s">
        <v>46</v>
      </c>
      <c r="I97" s="53">
        <f t="shared" ref="I97:I106" si="64">SUM(B97:H97)</f>
        <v>-6810.3180000000002</v>
      </c>
    </row>
    <row r="98" spans="1:9" x14ac:dyDescent="0.25">
      <c r="A98" s="52" t="s">
        <v>228</v>
      </c>
      <c r="B98" s="75">
        <f>-542359/1000</f>
        <v>-542.35900000000004</v>
      </c>
      <c r="C98" s="53" t="s">
        <v>46</v>
      </c>
      <c r="D98" s="53" t="s">
        <v>46</v>
      </c>
      <c r="E98" s="53" t="s">
        <v>46</v>
      </c>
      <c r="F98" s="53" t="s">
        <v>46</v>
      </c>
      <c r="G98" s="53" t="s">
        <v>46</v>
      </c>
      <c r="H98" s="53" t="s">
        <v>46</v>
      </c>
      <c r="I98" s="53">
        <f t="shared" si="64"/>
        <v>-542.35900000000004</v>
      </c>
    </row>
    <row r="99" spans="1:9" x14ac:dyDescent="0.25">
      <c r="A99" s="52" t="s">
        <v>229</v>
      </c>
      <c r="B99" s="53" t="s">
        <v>46</v>
      </c>
      <c r="C99" s="53" t="s">
        <v>46</v>
      </c>
      <c r="D99" s="53" t="s">
        <v>46</v>
      </c>
      <c r="E99" s="53" t="s">
        <v>46</v>
      </c>
      <c r="F99" s="53">
        <f>5578/1000</f>
        <v>5.5780000000000003</v>
      </c>
      <c r="G99" s="53" t="s">
        <v>46</v>
      </c>
      <c r="H99" s="53" t="s">
        <v>46</v>
      </c>
      <c r="I99" s="53">
        <f t="shared" si="64"/>
        <v>5.5780000000000003</v>
      </c>
    </row>
    <row r="100" spans="1:9" x14ac:dyDescent="0.25">
      <c r="A100" s="52" t="s">
        <v>230</v>
      </c>
      <c r="B100" s="53" t="s">
        <v>46</v>
      </c>
      <c r="C100" s="227">
        <f>253885/1000</f>
        <v>253.88499999999999</v>
      </c>
      <c r="D100" s="53" t="s">
        <v>46</v>
      </c>
      <c r="E100" s="53" t="s">
        <v>46</v>
      </c>
      <c r="F100" s="53" t="s">
        <v>46</v>
      </c>
      <c r="G100" s="53" t="s">
        <v>46</v>
      </c>
      <c r="H100" s="53" t="s">
        <v>46</v>
      </c>
      <c r="I100" s="53">
        <f t="shared" si="64"/>
        <v>253.88499999999999</v>
      </c>
    </row>
    <row r="101" spans="1:9" x14ac:dyDescent="0.25">
      <c r="A101" s="52" t="s">
        <v>244</v>
      </c>
      <c r="B101" s="53" t="s">
        <v>46</v>
      </c>
      <c r="C101" s="53" t="s">
        <v>46</v>
      </c>
      <c r="D101" s="75">
        <f>972026/1000</f>
        <v>972.02599999999995</v>
      </c>
      <c r="E101" s="53" t="s">
        <v>46</v>
      </c>
      <c r="F101" s="53" t="s">
        <v>46</v>
      </c>
      <c r="G101" s="53" t="s">
        <v>46</v>
      </c>
      <c r="H101" s="53" t="s">
        <v>46</v>
      </c>
      <c r="I101" s="53">
        <f t="shared" si="64"/>
        <v>972.02599999999995</v>
      </c>
    </row>
    <row r="102" spans="1:9" x14ac:dyDescent="0.25">
      <c r="A102" s="52" t="s">
        <v>231</v>
      </c>
      <c r="B102" s="75">
        <f>630285/1000</f>
        <v>630.28499999999997</v>
      </c>
      <c r="C102" s="53" t="s">
        <v>46</v>
      </c>
      <c r="D102" s="53" t="s">
        <v>46</v>
      </c>
      <c r="E102" s="53" t="s">
        <v>46</v>
      </c>
      <c r="F102" s="53">
        <f>-630285/1000</f>
        <v>-630.28499999999997</v>
      </c>
      <c r="G102" s="53" t="s">
        <v>46</v>
      </c>
      <c r="H102" s="53" t="s">
        <v>46</v>
      </c>
      <c r="I102" s="53">
        <f t="shared" si="64"/>
        <v>0</v>
      </c>
    </row>
    <row r="103" spans="1:9" x14ac:dyDescent="0.25">
      <c r="A103" s="52" t="s">
        <v>232</v>
      </c>
      <c r="B103" s="75">
        <f>-1340/1000</f>
        <v>-1.34</v>
      </c>
      <c r="C103" s="53" t="s">
        <v>46</v>
      </c>
      <c r="D103" s="53" t="s">
        <v>46</v>
      </c>
      <c r="E103" s="53" t="s">
        <v>46</v>
      </c>
      <c r="F103" s="53">
        <f>1304/1000</f>
        <v>1.304</v>
      </c>
      <c r="G103" s="53" t="s">
        <v>46</v>
      </c>
      <c r="H103" s="53" t="s">
        <v>46</v>
      </c>
      <c r="I103" s="53">
        <f t="shared" si="64"/>
        <v>-3.6000000000000032E-2</v>
      </c>
    </row>
    <row r="104" spans="1:9" x14ac:dyDescent="0.25">
      <c r="A104" s="228" t="s">
        <v>400</v>
      </c>
      <c r="B104" s="75">
        <f>1734/1000</f>
        <v>1.734</v>
      </c>
      <c r="C104" s="53" t="s">
        <v>46</v>
      </c>
      <c r="D104" s="53" t="s">
        <v>46</v>
      </c>
      <c r="E104" s="53" t="s">
        <v>46</v>
      </c>
      <c r="F104" s="53">
        <v>-1.734</v>
      </c>
      <c r="G104" s="53" t="s">
        <v>46</v>
      </c>
      <c r="H104" s="53" t="s">
        <v>46</v>
      </c>
      <c r="I104" s="53">
        <f t="shared" si="64"/>
        <v>0</v>
      </c>
    </row>
    <row r="105" spans="1:9" x14ac:dyDescent="0.25">
      <c r="A105" s="52" t="s">
        <v>233</v>
      </c>
      <c r="B105" s="93">
        <f>36599/1000</f>
        <v>36.598999999999997</v>
      </c>
      <c r="C105" s="53" t="s">
        <v>46</v>
      </c>
      <c r="D105" s="53" t="s">
        <v>46</v>
      </c>
      <c r="E105" s="53" t="s">
        <v>46</v>
      </c>
      <c r="F105" s="53">
        <f>-33371/1000</f>
        <v>-33.371000000000002</v>
      </c>
      <c r="G105" s="53" t="s">
        <v>46</v>
      </c>
      <c r="H105" s="53" t="s">
        <v>46</v>
      </c>
      <c r="I105" s="53">
        <f>SUM(B105:H105)</f>
        <v>3.2279999999999944</v>
      </c>
    </row>
    <row r="106" spans="1:9" x14ac:dyDescent="0.25">
      <c r="A106" s="52" t="s">
        <v>234</v>
      </c>
      <c r="B106" s="53" t="s">
        <v>46</v>
      </c>
      <c r="C106" s="53" t="s">
        <v>46</v>
      </c>
      <c r="D106" s="53" t="s">
        <v>46</v>
      </c>
      <c r="E106" s="75">
        <f>972026/1000</f>
        <v>972.02599999999995</v>
      </c>
      <c r="F106" s="75">
        <f>126754/1000</f>
        <v>126.754</v>
      </c>
      <c r="G106" s="53">
        <f>16882/1000</f>
        <v>16.882000000000001</v>
      </c>
      <c r="H106" s="75">
        <f>-6992/1000</f>
        <v>-6.992</v>
      </c>
      <c r="I106" s="53">
        <f t="shared" si="64"/>
        <v>1108.67</v>
      </c>
    </row>
    <row r="107" spans="1:9" ht="15.75" thickBot="1" x14ac:dyDescent="0.3">
      <c r="A107" s="101" t="s">
        <v>399</v>
      </c>
      <c r="B107" s="33">
        <f>SUM(B95:B106)</f>
        <v>32150.254000000019</v>
      </c>
      <c r="C107" s="33">
        <f>SUM(C95:C106)</f>
        <v>253.88499999999999</v>
      </c>
      <c r="D107" s="33">
        <f t="shared" ref="D107:E107" si="65">SUM(D95:D106)</f>
        <v>972.02599999999995</v>
      </c>
      <c r="E107" s="33">
        <f t="shared" si="65"/>
        <v>972.02599999999973</v>
      </c>
      <c r="F107" s="33">
        <f>SUM(F95:F106)</f>
        <v>401.67000000000058</v>
      </c>
      <c r="G107" s="33">
        <f t="shared" ref="G107" si="66">SUM(G95:G106)</f>
        <v>69.934999999999917</v>
      </c>
      <c r="H107" s="33">
        <f t="shared" ref="H107" si="67">SUM(H95:H106)</f>
        <v>3.6679999999999717</v>
      </c>
      <c r="I107" s="33">
        <f>SUM(I95:I106)</f>
        <v>34823.464</v>
      </c>
    </row>
    <row r="108" spans="1:9" ht="15.75" thickBot="1" x14ac:dyDescent="0.3">
      <c r="A108" s="225" t="s">
        <v>235</v>
      </c>
      <c r="B108" s="226">
        <f>SUM(B107)-SUM(B95)</f>
        <v>-4023.2469999999994</v>
      </c>
      <c r="C108" s="226">
        <f t="shared" ref="C108:I108" si="68">SUM(C107)-SUM(C95)</f>
        <v>-215.28500000000003</v>
      </c>
      <c r="D108" s="226">
        <f t="shared" si="68"/>
        <v>-127.25400000000002</v>
      </c>
      <c r="E108" s="226">
        <f>SUM(E107)-SUM(E95)</f>
        <v>-127.25400000000002</v>
      </c>
      <c r="F108" s="226">
        <f t="shared" si="68"/>
        <v>-531.75399999999991</v>
      </c>
      <c r="G108" s="226">
        <f t="shared" si="68"/>
        <v>16.882000000000005</v>
      </c>
      <c r="H108" s="226">
        <f t="shared" si="68"/>
        <v>-6.992</v>
      </c>
      <c r="I108" s="226">
        <f t="shared" si="68"/>
        <v>-5014.9040000000023</v>
      </c>
    </row>
  </sheetData>
  <mergeCells count="4">
    <mergeCell ref="B2:E2"/>
    <mergeCell ref="F2:H2"/>
    <mergeCell ref="I2:I3"/>
    <mergeCell ref="A2:A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42"/>
  <sheetViews>
    <sheetView zoomScale="80" zoomScaleNormal="80" workbookViewId="0">
      <selection activeCell="F11" sqref="F11"/>
    </sheetView>
  </sheetViews>
  <sheetFormatPr defaultRowHeight="15" x14ac:dyDescent="0.25"/>
  <cols>
    <col min="1" max="1" width="66.42578125" style="13" bestFit="1" customWidth="1"/>
    <col min="2" max="8" width="11.42578125" customWidth="1"/>
    <col min="9" max="9" width="12.42578125" bestFit="1" customWidth="1"/>
  </cols>
  <sheetData>
    <row r="1" spans="1:15" x14ac:dyDescent="0.25">
      <c r="A1" s="13" t="s">
        <v>10</v>
      </c>
    </row>
    <row r="2" spans="1:15" x14ac:dyDescent="0.25">
      <c r="A2" s="17"/>
      <c r="B2" s="6">
        <v>40695</v>
      </c>
      <c r="C2" s="6">
        <v>41061</v>
      </c>
      <c r="D2" s="6">
        <v>41426</v>
      </c>
      <c r="E2" s="6">
        <v>41791</v>
      </c>
      <c r="F2" s="6">
        <v>42156</v>
      </c>
      <c r="G2" s="6">
        <v>42522</v>
      </c>
      <c r="H2" s="6">
        <v>42887</v>
      </c>
      <c r="I2" s="6">
        <v>43252</v>
      </c>
      <c r="J2" s="37"/>
      <c r="K2" s="37"/>
      <c r="L2" s="37"/>
    </row>
    <row r="3" spans="1:15" s="12" customFormat="1" x14ac:dyDescent="0.25">
      <c r="A3" s="21" t="s">
        <v>207</v>
      </c>
      <c r="B3" s="35">
        <f t="shared" ref="B3:G3" si="0">SUM(B4:B18)</f>
        <v>1902.5019999999988</v>
      </c>
      <c r="C3" s="35">
        <f t="shared" si="0"/>
        <v>2143.7729999999992</v>
      </c>
      <c r="D3" s="35">
        <f t="shared" si="0"/>
        <v>837.84799999999984</v>
      </c>
      <c r="E3" s="35">
        <f t="shared" si="0"/>
        <v>1592.4970000000001</v>
      </c>
      <c r="F3" s="35">
        <f t="shared" si="0"/>
        <v>2162.0999999999995</v>
      </c>
      <c r="G3" s="35">
        <f t="shared" si="0"/>
        <v>3325.1600000000008</v>
      </c>
      <c r="H3" s="35">
        <f>SUM(H4:H18)</f>
        <v>6598.0240000000003</v>
      </c>
      <c r="I3" s="35">
        <f>SUM(I4:I18)</f>
        <v>13758.448999999995</v>
      </c>
      <c r="J3" s="40"/>
      <c r="K3" s="40"/>
      <c r="L3" s="40"/>
    </row>
    <row r="4" spans="1:15" x14ac:dyDescent="0.25">
      <c r="A4" s="15" t="s">
        <v>217</v>
      </c>
      <c r="B4" s="7">
        <f>5110614/1000</f>
        <v>5110.6139999999996</v>
      </c>
      <c r="C4" s="7">
        <f>5565480/1000</f>
        <v>5565.48</v>
      </c>
      <c r="D4" s="7">
        <f>5374735/1000</f>
        <v>5374.7349999999997</v>
      </c>
      <c r="E4" s="7">
        <f>5844946/1000</f>
        <v>5844.9459999999999</v>
      </c>
      <c r="F4" s="7">
        <f>9060036/1000</f>
        <v>9060.0360000000001</v>
      </c>
      <c r="G4" s="7">
        <f>5219451/1000</f>
        <v>5219.451</v>
      </c>
      <c r="H4" s="7">
        <f>6497629/1000</f>
        <v>6497.6289999999999</v>
      </c>
      <c r="I4" s="7">
        <f>12602964/1000</f>
        <v>12602.964</v>
      </c>
      <c r="J4" s="39"/>
      <c r="K4" s="39"/>
      <c r="L4" s="39"/>
      <c r="M4" s="2"/>
      <c r="N4" s="2"/>
      <c r="O4" s="2"/>
    </row>
    <row r="5" spans="1:15" x14ac:dyDescent="0.25">
      <c r="A5" s="15" t="s">
        <v>208</v>
      </c>
      <c r="B5" s="7">
        <f>264186/1000</f>
        <v>264.18599999999998</v>
      </c>
      <c r="C5" s="7">
        <f>199117/1000</f>
        <v>199.11699999999999</v>
      </c>
      <c r="D5" s="7">
        <f>95897/1000</f>
        <v>95.897000000000006</v>
      </c>
      <c r="E5" s="7">
        <f>810978/1000</f>
        <v>810.97799999999995</v>
      </c>
      <c r="F5" s="7">
        <f>1934867/1000</f>
        <v>1934.867</v>
      </c>
      <c r="G5" s="7">
        <f>1453791/1000</f>
        <v>1453.7909999999999</v>
      </c>
      <c r="H5" s="7">
        <f>1096078/1000</f>
        <v>1096.078</v>
      </c>
      <c r="I5" s="7">
        <f>1154138/1000</f>
        <v>1154.1379999999999</v>
      </c>
      <c r="J5" s="39"/>
      <c r="K5" s="39"/>
      <c r="L5" s="39"/>
      <c r="M5" s="2"/>
    </row>
    <row r="6" spans="1:15" x14ac:dyDescent="0.25">
      <c r="A6" s="15" t="s">
        <v>209</v>
      </c>
      <c r="B6" s="7">
        <f>-4010514/1000</f>
        <v>-4010.5140000000001</v>
      </c>
      <c r="C6" s="7">
        <f>-3855871/1000</f>
        <v>-3855.8710000000001</v>
      </c>
      <c r="D6" s="7">
        <f>-5282271/1000</f>
        <v>-5282.2709999999997</v>
      </c>
      <c r="E6" s="7">
        <f>-5830035/1000</f>
        <v>-5830.0349999999999</v>
      </c>
      <c r="F6" s="7">
        <f>-8881861/1000</f>
        <v>-8881.8610000000008</v>
      </c>
      <c r="G6" s="7">
        <f>-3430259/1000</f>
        <v>-3430.259</v>
      </c>
      <c r="H6" s="7">
        <f>-1451478/1000</f>
        <v>-1451.4780000000001</v>
      </c>
      <c r="I6" s="7">
        <f>-257429/1000</f>
        <v>-257.42899999999997</v>
      </c>
      <c r="J6" s="39"/>
      <c r="K6" s="39"/>
      <c r="L6" s="39"/>
      <c r="M6" s="2"/>
      <c r="N6" s="2"/>
      <c r="O6" s="2"/>
    </row>
    <row r="7" spans="1:15" x14ac:dyDescent="0.25">
      <c r="A7" s="15" t="s">
        <v>210</v>
      </c>
      <c r="B7" s="7">
        <f>-26876/1000</f>
        <v>-26.876000000000001</v>
      </c>
      <c r="C7" s="7">
        <f>-23052/1000</f>
        <v>-23.052</v>
      </c>
      <c r="D7" s="7">
        <f>-21840/1000</f>
        <v>-21.84</v>
      </c>
      <c r="E7" s="7">
        <v>-24.303999999999998</v>
      </c>
      <c r="F7" s="7">
        <v>-23.369</v>
      </c>
      <c r="G7" s="7">
        <f>-28948/1000</f>
        <v>-28.948</v>
      </c>
      <c r="H7" s="7">
        <f>-31227/1000</f>
        <v>-31.227</v>
      </c>
      <c r="I7" s="7">
        <f>-65635/1000</f>
        <v>-65.635000000000005</v>
      </c>
      <c r="J7" s="39"/>
      <c r="K7" s="39"/>
      <c r="L7" s="39"/>
      <c r="M7" s="2"/>
    </row>
    <row r="8" spans="1:15" x14ac:dyDescent="0.25">
      <c r="A8" s="15" t="s">
        <v>211</v>
      </c>
      <c r="B8" s="7">
        <f>-51930/1000</f>
        <v>-51.93</v>
      </c>
      <c r="C8" s="7">
        <f>-51076/1000</f>
        <v>-51.076000000000001</v>
      </c>
      <c r="D8" s="7">
        <f>-57525/1000</f>
        <v>-57.524999999999999</v>
      </c>
      <c r="E8" s="7">
        <f>-57625/1000</f>
        <v>-57.625</v>
      </c>
      <c r="F8" s="7">
        <f>-56759/1000</f>
        <v>-56.759</v>
      </c>
      <c r="G8" s="7">
        <f>-73511/1000</f>
        <v>-73.510999999999996</v>
      </c>
      <c r="H8" s="7">
        <f>-77024/1000</f>
        <v>-77.024000000000001</v>
      </c>
      <c r="I8" s="7">
        <f>-163343/1000</f>
        <v>-163.34299999999999</v>
      </c>
      <c r="J8" s="39"/>
      <c r="K8" s="39"/>
      <c r="L8" s="39"/>
      <c r="M8" s="2"/>
      <c r="N8" s="2"/>
      <c r="O8" s="2"/>
    </row>
    <row r="9" spans="1:15" x14ac:dyDescent="0.25">
      <c r="A9" s="15" t="s">
        <v>212</v>
      </c>
      <c r="B9" s="7">
        <f>-8363/1000</f>
        <v>-8.3629999999999995</v>
      </c>
      <c r="C9" s="7">
        <f>-10375/1000</f>
        <v>-10.375</v>
      </c>
      <c r="D9" s="7">
        <f>-9155/1000</f>
        <v>-9.1549999999999994</v>
      </c>
      <c r="E9" s="7">
        <v>3.202</v>
      </c>
      <c r="F9" s="7">
        <v>-5.5E-2</v>
      </c>
      <c r="G9" s="7">
        <f>-659/1000</f>
        <v>-0.65900000000000003</v>
      </c>
      <c r="H9" s="7">
        <f>-803/1000</f>
        <v>-0.80300000000000005</v>
      </c>
      <c r="I9" s="7">
        <f>-432/1000</f>
        <v>-0.432</v>
      </c>
      <c r="J9" s="39"/>
      <c r="K9" s="39"/>
      <c r="L9" s="39"/>
      <c r="M9" s="2"/>
    </row>
    <row r="10" spans="1:15" x14ac:dyDescent="0.25">
      <c r="A10" s="15" t="s">
        <v>11</v>
      </c>
      <c r="B10" s="7">
        <f>87138/1000</f>
        <v>87.138000000000005</v>
      </c>
      <c r="C10" s="7">
        <f>83585/1000</f>
        <v>83.584999999999994</v>
      </c>
      <c r="D10" s="7">
        <f>72163/1000</f>
        <v>72.162999999999997</v>
      </c>
      <c r="E10" s="7">
        <f>61131/1000</f>
        <v>61.131</v>
      </c>
      <c r="F10" s="7">
        <f>103863/1000</f>
        <v>103.863</v>
      </c>
      <c r="G10" s="7">
        <f>177657/1000</f>
        <v>177.65700000000001</v>
      </c>
      <c r="H10" s="7">
        <f>554953/1000</f>
        <v>554.95299999999997</v>
      </c>
      <c r="I10" s="7">
        <f>488053/1000</f>
        <v>488.053</v>
      </c>
      <c r="J10" s="39"/>
      <c r="K10" s="39"/>
      <c r="L10" s="39"/>
      <c r="M10" s="2"/>
      <c r="N10" s="2"/>
      <c r="O10" s="2"/>
    </row>
    <row r="11" spans="1:15" x14ac:dyDescent="0.25">
      <c r="A11" s="15" t="s">
        <v>213</v>
      </c>
      <c r="B11" s="7">
        <f>30359/1000</f>
        <v>30.359000000000002</v>
      </c>
      <c r="C11" s="7">
        <f>19890/1000</f>
        <v>19.89</v>
      </c>
      <c r="D11" s="7">
        <f>580997/1000</f>
        <v>580.99699999999996</v>
      </c>
      <c r="E11" s="7">
        <f>31320/1000</f>
        <v>31.32</v>
      </c>
      <c r="F11" s="7">
        <f>6579/1000</f>
        <v>6.5789999999999997</v>
      </c>
      <c r="G11" s="7">
        <f>4547/1000</f>
        <v>4.5469999999999997</v>
      </c>
      <c r="H11" s="7">
        <f>7144/1000</f>
        <v>7.1440000000000001</v>
      </c>
      <c r="I11" s="7">
        <f>639/1000</f>
        <v>0.63900000000000001</v>
      </c>
      <c r="J11" s="39"/>
      <c r="K11" s="39"/>
      <c r="L11" s="39"/>
      <c r="M11" s="2"/>
    </row>
    <row r="12" spans="1:15" x14ac:dyDescent="0.25">
      <c r="A12" s="15" t="s">
        <v>214</v>
      </c>
      <c r="B12" s="7">
        <f>304121/1000</f>
        <v>304.12099999999998</v>
      </c>
      <c r="C12" s="7">
        <f>173870/1000</f>
        <v>173.87</v>
      </c>
      <c r="D12" s="7">
        <f>43282/1000</f>
        <v>43.281999999999996</v>
      </c>
      <c r="E12" s="7">
        <f>737020/1000</f>
        <v>737.02</v>
      </c>
      <c r="F12" s="7">
        <f>16921/1000</f>
        <v>16.920999999999999</v>
      </c>
      <c r="G12" s="7">
        <f>1534/1000</f>
        <v>1.534</v>
      </c>
      <c r="H12" s="36" t="s">
        <v>46</v>
      </c>
      <c r="I12" s="36" t="s">
        <v>46</v>
      </c>
      <c r="J12" s="39"/>
      <c r="K12" s="39"/>
      <c r="L12" s="39"/>
      <c r="M12" s="2"/>
      <c r="N12" s="2"/>
      <c r="O12" s="2"/>
    </row>
    <row r="13" spans="1:15" x14ac:dyDescent="0.25">
      <c r="A13" s="15" t="s">
        <v>215</v>
      </c>
      <c r="B13" s="7">
        <f>21389/1000</f>
        <v>21.388999999999999</v>
      </c>
      <c r="C13" s="7">
        <f>20189/1000</f>
        <v>20.189</v>
      </c>
      <c r="D13" s="7">
        <f>29349/1000</f>
        <v>29.349</v>
      </c>
      <c r="E13" s="7">
        <f>4731/1000</f>
        <v>4.7309999999999999</v>
      </c>
      <c r="F13" s="7">
        <f>271/1000</f>
        <v>0.27100000000000002</v>
      </c>
      <c r="G13" s="7">
        <f>291/1000</f>
        <v>0.29099999999999998</v>
      </c>
      <c r="H13" s="7">
        <f>321/1000</f>
        <v>0.32100000000000001</v>
      </c>
      <c r="I13" s="7">
        <f>337/1000</f>
        <v>0.33700000000000002</v>
      </c>
      <c r="J13" s="39"/>
      <c r="K13" s="39"/>
      <c r="L13" s="39"/>
      <c r="M13" s="2"/>
    </row>
    <row r="14" spans="1:15" x14ac:dyDescent="0.25">
      <c r="A14" s="15" t="s">
        <v>271</v>
      </c>
      <c r="B14" s="36">
        <f>19333/1000</f>
        <v>19.332999999999998</v>
      </c>
      <c r="C14" s="36">
        <f>21990/1000</f>
        <v>21.99</v>
      </c>
      <c r="D14" s="36">
        <f>11034/1000</f>
        <v>11.034000000000001</v>
      </c>
      <c r="E14" s="7">
        <f>10446/1000</f>
        <v>10.446</v>
      </c>
      <c r="F14" s="36" t="s">
        <v>46</v>
      </c>
      <c r="G14" s="36" t="s">
        <v>46</v>
      </c>
      <c r="H14" s="36" t="s">
        <v>46</v>
      </c>
      <c r="I14" s="36">
        <f>300/1000</f>
        <v>0.3</v>
      </c>
      <c r="J14" s="39"/>
      <c r="K14" s="39"/>
      <c r="L14" s="39"/>
      <c r="M14" s="2"/>
    </row>
    <row r="15" spans="1:15" x14ac:dyDescent="0.25">
      <c r="A15" s="15" t="s">
        <v>284</v>
      </c>
      <c r="B15" s="36" t="s">
        <v>46</v>
      </c>
      <c r="C15" s="36" t="s">
        <v>46</v>
      </c>
      <c r="D15" s="36">
        <f>1176/1000</f>
        <v>1.1759999999999999</v>
      </c>
      <c r="E15" s="36" t="s">
        <v>46</v>
      </c>
      <c r="F15" s="36" t="s">
        <v>46</v>
      </c>
      <c r="G15" s="36" t="s">
        <v>46</v>
      </c>
      <c r="H15" s="36" t="s">
        <v>46</v>
      </c>
      <c r="I15" s="36" t="s">
        <v>46</v>
      </c>
      <c r="J15" s="39"/>
      <c r="K15" s="39"/>
      <c r="L15" s="39"/>
      <c r="M15" s="2"/>
    </row>
    <row r="16" spans="1:15" x14ac:dyDescent="0.25">
      <c r="A16" s="15" t="s">
        <v>305</v>
      </c>
      <c r="B16" s="36">
        <f>155038/1000</f>
        <v>155.03800000000001</v>
      </c>
      <c r="C16" s="36" t="s">
        <v>46</v>
      </c>
      <c r="D16" s="36" t="s">
        <v>46</v>
      </c>
      <c r="E16" s="36" t="s">
        <v>46</v>
      </c>
      <c r="F16" s="36" t="s">
        <v>46</v>
      </c>
      <c r="G16" s="36" t="s">
        <v>46</v>
      </c>
      <c r="H16" s="36" t="s">
        <v>46</v>
      </c>
      <c r="I16" s="36" t="s">
        <v>46</v>
      </c>
      <c r="J16" s="39"/>
      <c r="K16" s="39"/>
      <c r="L16" s="39"/>
      <c r="M16" s="2"/>
    </row>
    <row r="17" spans="1:15" x14ac:dyDescent="0.25">
      <c r="A17" s="15" t="s">
        <v>306</v>
      </c>
      <c r="B17" s="36">
        <f>7901/1000</f>
        <v>7.9009999999999998</v>
      </c>
      <c r="C17" s="36" t="s">
        <v>46</v>
      </c>
      <c r="D17" s="36" t="s">
        <v>46</v>
      </c>
      <c r="E17" s="36" t="s">
        <v>46</v>
      </c>
      <c r="F17" s="36" t="s">
        <v>46</v>
      </c>
      <c r="G17" s="36" t="s">
        <v>46</v>
      </c>
      <c r="H17" s="36" t="s">
        <v>46</v>
      </c>
      <c r="I17" s="36" t="s">
        <v>46</v>
      </c>
      <c r="J17" s="39"/>
      <c r="K17" s="39"/>
      <c r="L17" s="39"/>
      <c r="M17" s="2"/>
    </row>
    <row r="18" spans="1:15" x14ac:dyDescent="0.25">
      <c r="A18" s="15" t="s">
        <v>216</v>
      </c>
      <c r="B18" s="7">
        <f>106/1000</f>
        <v>0.106</v>
      </c>
      <c r="C18" s="7">
        <f>26/1000</f>
        <v>2.5999999999999999E-2</v>
      </c>
      <c r="D18" s="7">
        <f>6/1000</f>
        <v>6.0000000000000001E-3</v>
      </c>
      <c r="E18" s="7">
        <f>687/1000</f>
        <v>0.68700000000000006</v>
      </c>
      <c r="F18" s="7">
        <f>1607/1000</f>
        <v>1.607</v>
      </c>
      <c r="G18" s="7">
        <f>1266/1000</f>
        <v>1.266</v>
      </c>
      <c r="H18" s="7">
        <f>2431/1000</f>
        <v>2.431</v>
      </c>
      <c r="I18" s="7">
        <f>-1143/1000</f>
        <v>-1.143</v>
      </c>
      <c r="J18" s="39"/>
      <c r="K18" s="39"/>
      <c r="L18" s="39"/>
      <c r="M18" s="2"/>
      <c r="N18" s="2"/>
      <c r="O18" s="2"/>
    </row>
    <row r="19" spans="1:15" x14ac:dyDescent="0.25">
      <c r="I19" s="38"/>
      <c r="J19" s="39"/>
      <c r="K19" s="39"/>
      <c r="L19" s="39"/>
      <c r="M19" s="2"/>
    </row>
    <row r="20" spans="1:15" s="12" customFormat="1" x14ac:dyDescent="0.25">
      <c r="A20" s="18" t="s">
        <v>218</v>
      </c>
      <c r="B20" s="41">
        <f t="shared" ref="B20" si="1">SUM(B21:B24)</f>
        <v>-1669.5360000000001</v>
      </c>
      <c r="C20" s="41">
        <f>SUM(C21:C24)</f>
        <v>-1690.3409999999999</v>
      </c>
      <c r="D20" s="41">
        <f t="shared" ref="D20:H20" si="2">SUM(D21:D24)</f>
        <v>-1682.4490000000001</v>
      </c>
      <c r="E20" s="41">
        <f>SUM(E21:E24)</f>
        <v>-1551.8579999999999</v>
      </c>
      <c r="F20" s="41">
        <f t="shared" si="2"/>
        <v>-1547.4949999999999</v>
      </c>
      <c r="G20" s="41">
        <f t="shared" si="2"/>
        <v>-1952.76</v>
      </c>
      <c r="H20" s="41">
        <f t="shared" si="2"/>
        <v>-1932.3979999999999</v>
      </c>
      <c r="I20" s="41">
        <f>SUM(I21:I24)</f>
        <v>-7349.4850000000006</v>
      </c>
      <c r="J20" s="40"/>
      <c r="K20" s="40"/>
      <c r="L20" s="40"/>
    </row>
    <row r="21" spans="1:15" x14ac:dyDescent="0.25">
      <c r="A21" s="15" t="s">
        <v>219</v>
      </c>
      <c r="B21" s="7">
        <f>1438/1000</f>
        <v>1.4379999999999999</v>
      </c>
      <c r="C21" s="7">
        <f>1575/1000</f>
        <v>1.575</v>
      </c>
      <c r="D21" s="7">
        <f>1426/1000</f>
        <v>1.4259999999999999</v>
      </c>
      <c r="E21" s="7">
        <f>1247/1000</f>
        <v>1.2470000000000001</v>
      </c>
      <c r="F21" s="7">
        <f>1484/1000</f>
        <v>1.484</v>
      </c>
      <c r="G21" s="7">
        <f>814/1000</f>
        <v>0.81399999999999995</v>
      </c>
      <c r="H21" s="7">
        <f>419/1000</f>
        <v>0.41899999999999998</v>
      </c>
      <c r="I21" s="7">
        <f>3192/1000</f>
        <v>3.1920000000000002</v>
      </c>
      <c r="J21" s="39"/>
      <c r="K21" s="39"/>
      <c r="L21" s="39"/>
      <c r="M21" s="2"/>
      <c r="N21" s="2"/>
      <c r="O21" s="2"/>
    </row>
    <row r="22" spans="1:15" x14ac:dyDescent="0.25">
      <c r="A22" s="15" t="s">
        <v>220</v>
      </c>
      <c r="B22" s="7">
        <f>-852724/1000</f>
        <v>-852.72400000000005</v>
      </c>
      <c r="C22" s="7">
        <f>-881347/1000</f>
        <v>-881.34699999999998</v>
      </c>
      <c r="D22" s="7">
        <f>-882403/1000</f>
        <v>-882.40300000000002</v>
      </c>
      <c r="E22" s="7">
        <f>-875802/1000</f>
        <v>-875.80200000000002</v>
      </c>
      <c r="F22" s="7">
        <f>-936236/1000</f>
        <v>-936.23599999999999</v>
      </c>
      <c r="G22" s="7">
        <f>-1338633/1000</f>
        <v>-1338.633</v>
      </c>
      <c r="H22" s="7">
        <f>-1250257/1000</f>
        <v>-1250.2570000000001</v>
      </c>
      <c r="I22" s="7">
        <f>-6810318/1000</f>
        <v>-6810.3180000000002</v>
      </c>
      <c r="J22" s="39"/>
      <c r="K22" s="39"/>
      <c r="L22" s="39"/>
      <c r="M22" s="2"/>
    </row>
    <row r="23" spans="1:15" x14ac:dyDescent="0.25">
      <c r="A23" s="15" t="s">
        <v>221</v>
      </c>
      <c r="B23" s="7">
        <f>-818250/1000</f>
        <v>-818.25</v>
      </c>
      <c r="C23" s="7">
        <f>-810569/1000</f>
        <v>-810.56899999999996</v>
      </c>
      <c r="D23" s="7">
        <f>-801472/1000</f>
        <v>-801.47199999999998</v>
      </c>
      <c r="E23" s="7">
        <f>-680231/1000</f>
        <v>-680.23099999999999</v>
      </c>
      <c r="F23" s="7">
        <f>-611829/1000</f>
        <v>-611.82899999999995</v>
      </c>
      <c r="G23" s="7">
        <f>-614941/1000</f>
        <v>-614.94100000000003</v>
      </c>
      <c r="H23" s="7">
        <f>-682560/1000</f>
        <v>-682.56</v>
      </c>
      <c r="I23" s="7">
        <f>-542359/1000</f>
        <v>-542.35900000000004</v>
      </c>
      <c r="J23" s="39"/>
      <c r="K23" s="39"/>
      <c r="L23" s="39"/>
      <c r="M23" s="2"/>
      <c r="N23" s="2"/>
      <c r="O23" s="2"/>
    </row>
    <row r="24" spans="1:15" x14ac:dyDescent="0.25">
      <c r="A24" s="15" t="s">
        <v>260</v>
      </c>
      <c r="B24" s="36" t="s">
        <v>46</v>
      </c>
      <c r="C24" s="36" t="s">
        <v>46</v>
      </c>
      <c r="D24" s="36" t="s">
        <v>46</v>
      </c>
      <c r="E24" s="36">
        <v>2.9279999999999999</v>
      </c>
      <c r="F24" s="7">
        <v>-0.91400000000000003</v>
      </c>
      <c r="G24" s="36" t="s">
        <v>46</v>
      </c>
      <c r="H24" s="36" t="s">
        <v>46</v>
      </c>
      <c r="I24" s="36" t="s">
        <v>46</v>
      </c>
      <c r="J24" s="39"/>
      <c r="K24" s="39"/>
      <c r="L24" s="39"/>
      <c r="M24" s="2"/>
      <c r="N24" s="2"/>
      <c r="O24" s="2"/>
    </row>
    <row r="26" spans="1:15" s="34" customFormat="1" x14ac:dyDescent="0.25">
      <c r="A26" s="14" t="s">
        <v>222</v>
      </c>
      <c r="B26" s="33">
        <f t="shared" ref="B26:G26" si="3">B28-B27</f>
        <v>233.01999999999998</v>
      </c>
      <c r="C26" s="33">
        <f t="shared" si="3"/>
        <v>453.43200000000002</v>
      </c>
      <c r="D26" s="33">
        <f t="shared" si="3"/>
        <v>-844.60100000000011</v>
      </c>
      <c r="E26" s="33">
        <f t="shared" si="3"/>
        <v>40.639000000000124</v>
      </c>
      <c r="F26" s="33">
        <f t="shared" si="3"/>
        <v>614.60500000000002</v>
      </c>
      <c r="G26" s="33">
        <f t="shared" si="3"/>
        <v>1372.4</v>
      </c>
      <c r="H26" s="33">
        <f>H28-H27</f>
        <v>4665.6260000000002</v>
      </c>
      <c r="I26" s="33">
        <f>I28-I27</f>
        <v>6408.963999999999</v>
      </c>
    </row>
    <row r="27" spans="1:15" x14ac:dyDescent="0.25">
      <c r="A27" s="15" t="s">
        <v>261</v>
      </c>
      <c r="B27" s="7">
        <f>1444153/1000</f>
        <v>1444.153</v>
      </c>
      <c r="C27" s="7">
        <f t="shared" ref="C27:G27" si="4">B28</f>
        <v>1677.173</v>
      </c>
      <c r="D27" s="7">
        <f t="shared" si="4"/>
        <v>2130.605</v>
      </c>
      <c r="E27" s="7">
        <f t="shared" si="4"/>
        <v>1286.0039999999999</v>
      </c>
      <c r="F27" s="7">
        <f t="shared" si="4"/>
        <v>1326.643</v>
      </c>
      <c r="G27" s="7">
        <f t="shared" si="4"/>
        <v>1941.248</v>
      </c>
      <c r="H27" s="7">
        <f>G28</f>
        <v>3313.6480000000001</v>
      </c>
      <c r="I27" s="7">
        <f>H28</f>
        <v>7979.2740000000003</v>
      </c>
    </row>
    <row r="28" spans="1:15" x14ac:dyDescent="0.25">
      <c r="A28" s="15" t="s">
        <v>262</v>
      </c>
      <c r="B28" s="7">
        <f>1677173/1000</f>
        <v>1677.173</v>
      </c>
      <c r="C28" s="7">
        <f>2130605/1000</f>
        <v>2130.605</v>
      </c>
      <c r="D28" s="7">
        <f>1286004/1000</f>
        <v>1286.0039999999999</v>
      </c>
      <c r="E28" s="7">
        <f>1326643/1000</f>
        <v>1326.643</v>
      </c>
      <c r="F28" s="7">
        <f>1941248/1000</f>
        <v>1941.248</v>
      </c>
      <c r="G28" s="7">
        <f>3313648/1000</f>
        <v>3313.6480000000001</v>
      </c>
      <c r="H28" s="7">
        <f>7979274/1000</f>
        <v>7979.2740000000003</v>
      </c>
      <c r="I28" s="7">
        <f>14388238/1000</f>
        <v>14388.237999999999</v>
      </c>
    </row>
    <row r="29" spans="1:15" x14ac:dyDescent="0.25">
      <c r="B29" s="42"/>
      <c r="C29" s="42"/>
      <c r="D29" s="42"/>
      <c r="E29" s="42"/>
      <c r="F29" s="42"/>
      <c r="G29" s="42"/>
      <c r="H29" s="42"/>
      <c r="I29" s="42"/>
    </row>
    <row r="31" spans="1:15" x14ac:dyDescent="0.25">
      <c r="A31" s="13" t="s">
        <v>223</v>
      </c>
    </row>
    <row r="32" spans="1:15" x14ac:dyDescent="0.25">
      <c r="A32" s="13" t="s">
        <v>10</v>
      </c>
    </row>
    <row r="33" spans="1:13" x14ac:dyDescent="0.25">
      <c r="A33" s="17"/>
      <c r="B33" s="6">
        <v>40695</v>
      </c>
      <c r="C33" s="6">
        <v>41061</v>
      </c>
      <c r="D33" s="6">
        <v>41426</v>
      </c>
      <c r="E33" s="6">
        <v>41791</v>
      </c>
      <c r="F33" s="6">
        <v>42156</v>
      </c>
      <c r="G33" s="6">
        <v>42522</v>
      </c>
      <c r="H33" s="6">
        <v>42887</v>
      </c>
      <c r="I33" s="6">
        <v>43252</v>
      </c>
      <c r="J33" s="37"/>
      <c r="K33" s="37"/>
      <c r="L33" s="37"/>
    </row>
    <row r="34" spans="1:13" s="12" customFormat="1" x14ac:dyDescent="0.25">
      <c r="A34" s="21" t="s">
        <v>206</v>
      </c>
      <c r="B34" s="35">
        <f>DRE!B32</f>
        <v>833.4830000000004</v>
      </c>
      <c r="C34" s="35">
        <f>DRE!C32</f>
        <v>1185.4920000000002</v>
      </c>
      <c r="D34" s="35">
        <f>DRE!D32</f>
        <v>1147.6470000000004</v>
      </c>
      <c r="E34" s="35">
        <f>DRE!E32</f>
        <v>956.40200000000027</v>
      </c>
      <c r="F34" s="35">
        <f>DRE!F32</f>
        <v>977.23599999999942</v>
      </c>
      <c r="G34" s="35">
        <f>DRE!G32</f>
        <v>1359.3680000000004</v>
      </c>
      <c r="H34" s="35">
        <f>DRE!H32</f>
        <v>1464.0509999999997</v>
      </c>
      <c r="I34" s="35">
        <f>DRE!I32</f>
        <v>1070.47</v>
      </c>
      <c r="J34" s="40"/>
      <c r="K34" s="40"/>
      <c r="L34" s="40"/>
    </row>
    <row r="35" spans="1:13" x14ac:dyDescent="0.25">
      <c r="A35" s="15" t="s">
        <v>246</v>
      </c>
      <c r="B35" s="7">
        <f>-1943/1000</f>
        <v>-1.9430000000000001</v>
      </c>
      <c r="C35" s="7">
        <f>-('5'!C10-'5'!B10)/1000</f>
        <v>7.3220000000000001</v>
      </c>
      <c r="D35" s="7">
        <f>-('5'!D10-'5'!C10)/1000</f>
        <v>1.111</v>
      </c>
      <c r="E35" s="7">
        <f>-('5'!E10-'5'!D10)/1000</f>
        <v>-2.1469999999999998</v>
      </c>
      <c r="F35" s="7">
        <f>-('5'!F10-'5'!E10)/1000</f>
        <v>-9.2479999999999993</v>
      </c>
      <c r="G35" s="7">
        <f>-('5'!G10-'5'!F10)/1000</f>
        <v>-8.048</v>
      </c>
      <c r="H35" s="7">
        <f>-('5'!H10-'5'!G10)/1000</f>
        <v>13.276999999999999</v>
      </c>
      <c r="I35" s="7">
        <f>-('5'!I10-'5'!H10)/1000</f>
        <v>-49.865000000000002</v>
      </c>
      <c r="J35" s="2"/>
      <c r="K35" s="2"/>
      <c r="L35" s="2"/>
    </row>
    <row r="36" spans="1:13" x14ac:dyDescent="0.25">
      <c r="A36" s="15" t="s">
        <v>247</v>
      </c>
      <c r="B36" s="7">
        <f>550135/1000</f>
        <v>550.13499999999999</v>
      </c>
      <c r="C36" s="7">
        <f>-('6'!C11-'6'!B11)/1000</f>
        <v>204.75200000000001</v>
      </c>
      <c r="D36" s="7">
        <f>-('6'!D11-'6'!C11)/1000</f>
        <v>171.64</v>
      </c>
      <c r="E36" s="7">
        <f>-('6'!E11-'6'!D11)/1000</f>
        <v>633.149</v>
      </c>
      <c r="F36" s="7">
        <f>-('6'!F11-'6'!E11)/1000</f>
        <v>29.539000000000001</v>
      </c>
      <c r="G36" s="7">
        <f>-('6'!G11-'6'!F11)/1000</f>
        <v>16.445</v>
      </c>
      <c r="H36" s="7">
        <f>-('6'!H11-'6'!G11)/1000</f>
        <v>-15.827</v>
      </c>
      <c r="I36" s="7">
        <f>-('6'!I11-'6'!H11)/1000</f>
        <v>-34.048999999999999</v>
      </c>
      <c r="J36" s="2"/>
    </row>
    <row r="37" spans="1:13" x14ac:dyDescent="0.25">
      <c r="A37" s="15" t="s">
        <v>248</v>
      </c>
      <c r="B37" s="7">
        <f>-261003/1000</f>
        <v>-261.00299999999999</v>
      </c>
      <c r="C37" s="7">
        <f>-('7'!E29-'7'!D29)/1000</f>
        <v>-214.815</v>
      </c>
      <c r="D37" s="7">
        <f>-('7'!F29-'7'!E29)/1000</f>
        <v>-1651.4739999999999</v>
      </c>
      <c r="E37" s="7">
        <f>-('7'!G29-'7'!F29)/1000</f>
        <v>-1016.535</v>
      </c>
      <c r="F37" s="7">
        <f>-('7'!H29-'7'!G29)/1000</f>
        <v>117.366</v>
      </c>
      <c r="G37" s="7">
        <f>-('7'!I29-'7'!H29)/1000</f>
        <v>516.39400000000001</v>
      </c>
      <c r="H37" s="7">
        <f>-('7'!J29-'7'!I29)/1000</f>
        <v>3567.674</v>
      </c>
      <c r="I37" s="7">
        <f>-('7'!K29-'7'!J29)/1000</f>
        <v>11463.424000000001</v>
      </c>
      <c r="J37" s="2"/>
      <c r="K37" s="2"/>
      <c r="L37" s="2"/>
    </row>
    <row r="38" spans="1:13" x14ac:dyDescent="0.25">
      <c r="A38" s="15" t="s">
        <v>249</v>
      </c>
      <c r="B38" s="7">
        <f>-168037/1000</f>
        <v>-168.03700000000001</v>
      </c>
      <c r="C38" s="7">
        <f>-('8'!C12-'8'!B12)/1000</f>
        <v>-7.2869999999999999</v>
      </c>
      <c r="D38" s="7">
        <f>-('8'!D12-'8'!C12)/1000</f>
        <v>178.172</v>
      </c>
      <c r="E38" s="7">
        <f>-('8'!E12-'8'!D12)/1000</f>
        <v>4.2050000000000001</v>
      </c>
      <c r="F38" s="7">
        <f>-('8'!F12-'8'!E12)/1000</f>
        <v>0.80600000000000005</v>
      </c>
      <c r="G38" s="7">
        <f>-('8'!G12-'8'!F12)/1000</f>
        <v>-1.0999999999999999E-2</v>
      </c>
      <c r="H38" s="7">
        <f>-('8'!H12-'8'!G12)/1000</f>
        <v>-0.14399999999999999</v>
      </c>
      <c r="I38" s="7">
        <f>-('8'!I12-'8'!H12)/1000</f>
        <v>0.19700000000000001</v>
      </c>
      <c r="J38" s="2"/>
    </row>
    <row r="39" spans="1:13" x14ac:dyDescent="0.25">
      <c r="A39" s="15" t="s">
        <v>250</v>
      </c>
      <c r="B39" s="7">
        <f>-549/1000</f>
        <v>-0.54900000000000004</v>
      </c>
      <c r="C39" s="7">
        <f>('9'!C8-'9'!B8)/1000</f>
        <v>-0.16200000000000001</v>
      </c>
      <c r="D39" s="7">
        <f>('9'!D8-'9'!C8)/1000</f>
        <v>4.8000000000000001E-2</v>
      </c>
      <c r="E39" s="7">
        <f>('9'!E8-'9'!D8)/1000</f>
        <v>-0.40899999999999997</v>
      </c>
      <c r="F39" s="7">
        <f>('9'!F8-'9'!E8)/1000</f>
        <v>0.85899999999999999</v>
      </c>
      <c r="G39" s="7">
        <f>('9'!G8-'9'!F8)/1000</f>
        <v>2.7290000000000001</v>
      </c>
      <c r="H39" s="7">
        <f>('9'!H8-'9'!G8)/1000</f>
        <v>0.39600000000000002</v>
      </c>
      <c r="I39" s="7">
        <f>('9'!I8-'9'!H8)/1000</f>
        <v>48.188000000000002</v>
      </c>
      <c r="J39" s="2"/>
      <c r="K39" s="2"/>
      <c r="L39" s="2"/>
    </row>
    <row r="40" spans="1:13" x14ac:dyDescent="0.25">
      <c r="A40" s="15" t="s">
        <v>81</v>
      </c>
      <c r="B40" s="7">
        <f>('10'!F6-'10'!E6)/1000</f>
        <v>0</v>
      </c>
      <c r="C40" s="7">
        <f>('10'!G6-'10'!F6)/1000</f>
        <v>0</v>
      </c>
      <c r="D40" s="7">
        <f>('10'!H6-'10'!G6)/1000</f>
        <v>0</v>
      </c>
      <c r="E40" s="7">
        <f>('10'!I6-'10'!H6)/1000</f>
        <v>0</v>
      </c>
      <c r="F40" s="7">
        <f>('10'!J6-'10'!I6)/1000</f>
        <v>3.4820000000000002</v>
      </c>
      <c r="G40" s="7">
        <f>('10'!K6-'10'!J6)/1000</f>
        <v>0.39900000000000002</v>
      </c>
      <c r="H40" s="7">
        <f>('10'!L6-'10'!K6)/1000</f>
        <v>0.14599999999999999</v>
      </c>
      <c r="I40" s="7">
        <f>('10'!M6-'10'!L6)/1000</f>
        <v>-4.0270000000000001</v>
      </c>
      <c r="J40" s="2"/>
      <c r="K40" s="2"/>
      <c r="L40" s="2"/>
    </row>
    <row r="41" spans="1:13" x14ac:dyDescent="0.25">
      <c r="A41" s="15" t="s">
        <v>251</v>
      </c>
      <c r="B41" s="7">
        <f>-('12'!B7+'12'!B14)/1000</f>
        <v>950.47</v>
      </c>
      <c r="C41" s="7">
        <f>-('12'!C7+'12'!C14)/1000</f>
        <v>968.471</v>
      </c>
      <c r="D41" s="7">
        <f>-('12'!D7+'12'!D14)/1000</f>
        <v>990.70399999999995</v>
      </c>
      <c r="E41" s="7">
        <f>-('12'!E7+'12'!E14)/1000</f>
        <v>1017.832</v>
      </c>
      <c r="F41" s="7">
        <f>-('12'!F7+'12'!F14)/1000</f>
        <v>1042.059</v>
      </c>
      <c r="G41" s="7">
        <f>-('12'!G7+'12'!G14)/1000</f>
        <v>1437.884</v>
      </c>
      <c r="H41" s="7">
        <f>-('12'!H7+'12'!H14)/1000</f>
        <v>1568.45</v>
      </c>
      <c r="I41" s="7">
        <f>-('12'!I7+'12'!I14)/1000</f>
        <v>1225.9110000000001</v>
      </c>
      <c r="J41" s="39"/>
      <c r="K41" s="39"/>
      <c r="L41" s="39"/>
      <c r="M41" s="2"/>
    </row>
    <row r="42" spans="1:13" s="34" customFormat="1" x14ac:dyDescent="0.25">
      <c r="A42" s="16" t="s">
        <v>224</v>
      </c>
      <c r="B42" s="32">
        <f>SUM(B34:B41)</f>
        <v>1902.5560000000005</v>
      </c>
      <c r="C42" s="32">
        <f>SUM(C34:C41)</f>
        <v>2143.7730000000001</v>
      </c>
      <c r="D42" s="32">
        <f>SUM(D34:D41)</f>
        <v>837.84800000000064</v>
      </c>
      <c r="E42" s="32">
        <f t="shared" ref="E42:G42" si="5">SUM(E34:E41)</f>
        <v>1592.4970000000003</v>
      </c>
      <c r="F42" s="32">
        <f t="shared" si="5"/>
        <v>2162.0989999999993</v>
      </c>
      <c r="G42" s="32">
        <f t="shared" si="5"/>
        <v>3325.1600000000003</v>
      </c>
      <c r="H42" s="32">
        <f>SUM(H34:H41)</f>
        <v>6598.0229999999983</v>
      </c>
      <c r="I42" s="32">
        <f t="shared" ref="I42" si="6">SUM(I34:I41)</f>
        <v>13720.249000000002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Balanço patrimonial</vt:lpstr>
      <vt:lpstr>Carteira de TVM</vt:lpstr>
      <vt:lpstr>Operações de Crédito (BNDES)</vt:lpstr>
      <vt:lpstr>Outros Créditos a Receber</vt:lpstr>
      <vt:lpstr>Depósitos Vinculados</vt:lpstr>
      <vt:lpstr>DRE</vt:lpstr>
      <vt:lpstr>Depósitos Vinculados...</vt:lpstr>
      <vt:lpstr>DMPL</vt:lpstr>
      <vt:lpstr>Fluxo de caixa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>FGV.br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Rubin Costa</dc:creator>
  <cp:lastModifiedBy>Gabriel Mendes Bergamaschi</cp:lastModifiedBy>
  <dcterms:created xsi:type="dcterms:W3CDTF">2018-01-29T15:28:38Z</dcterms:created>
  <dcterms:modified xsi:type="dcterms:W3CDTF">2019-08-01T14:11:03Z</dcterms:modified>
</cp:coreProperties>
</file>